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mc:AlternateContent xmlns:mc="http://schemas.openxmlformats.org/markup-compatibility/2006">
    <mc:Choice Requires="x15">
      <x15ac:absPath xmlns:x15ac="http://schemas.microsoft.com/office/spreadsheetml/2010/11/ac" url="X:\Sales Tools\Boiler Schedule Tool\"/>
    </mc:Choice>
  </mc:AlternateContent>
  <xr:revisionPtr revIDLastSave="0" documentId="13_ncr:1_{BB600904-1FF7-4451-8E55-4A440A22D444}" xr6:coauthVersionLast="37" xr6:coauthVersionMax="37" xr10:uidLastSave="{00000000-0000-0000-0000-000000000000}"/>
  <bookViews>
    <workbookView xWindow="0" yWindow="0" windowWidth="19200" windowHeight="6880" tabRatio="729" firstSheet="1" activeTab="1" xr2:uid="{00000000-000D-0000-FFFF-FFFF00000000}"/>
  </bookViews>
  <sheets>
    <sheet name="BENCHMARK PLATINUM w EDGEii_OLD" sheetId="7" state="veryHidden" r:id="rId1"/>
    <sheet name="BENCHMARK PLATINUM w EDGEii" sheetId="13" r:id="rId2"/>
    <sheet name="BENCHMARK STANDARD w EDGEi" sheetId="10" r:id="rId3"/>
    <sheet name="MFC SERIES" sheetId="8" r:id="rId4"/>
    <sheet name="AM SERIES" sheetId="6" r:id="rId5"/>
    <sheet name="MLX EXT" sheetId="11" r:id="rId6"/>
    <sheet name="Reference" sheetId="4" state="veryHidden" r:id="rId7"/>
    <sheet name="Relief Valve" sheetId="12" state="veryHidden" r:id="rId8"/>
  </sheets>
  <definedNames>
    <definedName name="_xlnm._FilterDatabase" localSheetId="4" hidden="1">'AM SERIES'!$B$2:$B$25</definedName>
    <definedName name="_xlnm._FilterDatabase" localSheetId="6" hidden="1">Reference!$A$3:$A$12</definedName>
    <definedName name="AM">Reference!$A$36:$A$39</definedName>
    <definedName name="AMboiler">Reference!$A$36:$AC$39</definedName>
    <definedName name="BMKEdgei">Reference!$A$21:$A$30</definedName>
    <definedName name="BMKPlatEdgeii">Reference!$A$5:$A$14</definedName>
    <definedName name="BMKPlatwCMORE">Reference!$A$5:$AC$14</definedName>
    <definedName name="BMKPlatwEDGE">Reference!$A$5:$AC$14</definedName>
    <definedName name="BMKSTDwEdge">Reference!$A$21:$AC$30</definedName>
    <definedName name="INN">Reference!$A$62:$A$65</definedName>
    <definedName name="MaxPressure">'Relief Valve'!$B$4:$B$9</definedName>
    <definedName name="MFC">Reference!$A$48:$A$53</definedName>
    <definedName name="MFCBoiler">Reference!$A$48:$AC$53</definedName>
    <definedName name="MinPressure">'Relief Valve'!$A$4:$A$9</definedName>
    <definedName name="MLX">Reference!$A$75:$A$82</definedName>
    <definedName name="MLXBoiler">Reference!$A$75:$AL$82</definedName>
    <definedName name="RV_BMKCMORE">'Relief Valve'!$F$4:$F$9</definedName>
    <definedName name="RV_BMKPCMORE">'Relief Valve'!$E$4:$E$9</definedName>
    <definedName name="RV_BMKPEDGE">'Relief Valve'!$D$4:$D$9</definedName>
    <definedName name="RV_INN">'Relief Valve'!#REF!</definedName>
    <definedName name="RV_MFC">'Relief Valve'!$G$4:$G$9</definedName>
    <definedName name="RVpressure">'Relief Valve'!$C$4:$C$9</definedName>
  </definedNames>
  <calcPr calcId="179021"/>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U29" i="13" l="1"/>
  <c r="S29" i="13"/>
  <c r="K9" i="13" s="1"/>
  <c r="C12" i="13"/>
  <c r="AB9" i="13"/>
  <c r="X9" i="13"/>
  <c r="W9" i="13"/>
  <c r="V9" i="13"/>
  <c r="U9" i="13"/>
  <c r="T9" i="13"/>
  <c r="S9" i="13"/>
  <c r="R9" i="13"/>
  <c r="Q9" i="13"/>
  <c r="P9" i="13"/>
  <c r="O9" i="13"/>
  <c r="L9" i="13"/>
  <c r="J9" i="13"/>
  <c r="I9" i="13"/>
  <c r="H9" i="13"/>
  <c r="G9" i="13"/>
  <c r="C12" i="6" l="1"/>
  <c r="C13" i="11"/>
  <c r="C12" i="11"/>
  <c r="M9" i="11"/>
  <c r="AB9" i="11"/>
  <c r="X9" i="11"/>
  <c r="W9" i="11"/>
  <c r="V9" i="11"/>
  <c r="U9" i="11"/>
  <c r="T9" i="11"/>
  <c r="S9" i="11"/>
  <c r="R9" i="11"/>
  <c r="Q9" i="11"/>
  <c r="P9" i="11"/>
  <c r="O9" i="11"/>
  <c r="L9" i="11"/>
  <c r="K9" i="11"/>
  <c r="J9" i="11"/>
  <c r="I9" i="11"/>
  <c r="H9" i="11"/>
  <c r="AA9" i="6"/>
  <c r="Z9" i="6"/>
  <c r="Y9" i="6"/>
  <c r="X9" i="6"/>
  <c r="W9" i="6"/>
  <c r="V9" i="6"/>
  <c r="U9" i="6"/>
  <c r="T9" i="6"/>
  <c r="S9" i="6"/>
  <c r="R9" i="6"/>
  <c r="Q9" i="6"/>
  <c r="P9" i="6"/>
  <c r="M9" i="6"/>
  <c r="L9" i="6"/>
  <c r="K9" i="6"/>
  <c r="I9" i="6"/>
  <c r="H9" i="6"/>
  <c r="AB9" i="8"/>
  <c r="X9" i="8"/>
  <c r="W9" i="8"/>
  <c r="V9" i="8"/>
  <c r="U9" i="8"/>
  <c r="T9" i="8"/>
  <c r="S9" i="8"/>
  <c r="R9" i="8"/>
  <c r="Q9" i="8"/>
  <c r="P9" i="8"/>
  <c r="O9" i="8"/>
  <c r="L9" i="8"/>
  <c r="J9" i="8"/>
  <c r="H9" i="8"/>
  <c r="G9" i="10"/>
  <c r="U9" i="7"/>
  <c r="P9" i="7"/>
  <c r="C12" i="10" l="1"/>
  <c r="AL82" i="4"/>
  <c r="AK82" i="4"/>
  <c r="AJ82" i="4"/>
  <c r="AI82" i="4"/>
  <c r="AL81" i="4"/>
  <c r="AK81" i="4"/>
  <c r="AJ81" i="4"/>
  <c r="AI81" i="4"/>
  <c r="F81" i="4"/>
  <c r="G9" i="11" s="1"/>
  <c r="AL80" i="4"/>
  <c r="AK80" i="4"/>
  <c r="AJ80" i="4"/>
  <c r="AI80" i="4"/>
  <c r="AL79" i="4"/>
  <c r="AK79" i="4"/>
  <c r="AJ79" i="4"/>
  <c r="AI79" i="4"/>
  <c r="AL78" i="4"/>
  <c r="AK78" i="4"/>
  <c r="AJ78" i="4"/>
  <c r="AI78" i="4"/>
  <c r="AL77" i="4"/>
  <c r="AK77" i="4"/>
  <c r="AJ77" i="4"/>
  <c r="AI77" i="4"/>
  <c r="AL76" i="4"/>
  <c r="AK76" i="4"/>
  <c r="AJ76" i="4"/>
  <c r="AI76" i="4"/>
  <c r="AL75" i="4"/>
  <c r="AK75" i="4"/>
  <c r="AJ75" i="4"/>
  <c r="AI75" i="4"/>
  <c r="AL53" i="4"/>
  <c r="AK53" i="4"/>
  <c r="AJ53" i="4"/>
  <c r="AI53" i="4"/>
  <c r="AL52" i="4"/>
  <c r="AK52" i="4"/>
  <c r="AJ52" i="4"/>
  <c r="AI52" i="4"/>
  <c r="AL51" i="4"/>
  <c r="AK51" i="4"/>
  <c r="AJ51" i="4"/>
  <c r="AI51" i="4"/>
  <c r="AL50" i="4"/>
  <c r="AK50" i="4"/>
  <c r="AJ50" i="4"/>
  <c r="AI50" i="4"/>
  <c r="AL49" i="4"/>
  <c r="AK49" i="4"/>
  <c r="AJ49" i="4"/>
  <c r="AI49" i="4"/>
  <c r="AL48" i="4"/>
  <c r="AK48" i="4"/>
  <c r="AJ48" i="4"/>
  <c r="AI48" i="4"/>
  <c r="AL39" i="4"/>
  <c r="AK39" i="4"/>
  <c r="AJ39" i="4"/>
  <c r="AI39" i="4"/>
  <c r="AL38" i="4"/>
  <c r="AK38" i="4"/>
  <c r="AJ38" i="4"/>
  <c r="AI38" i="4"/>
  <c r="AL37" i="4"/>
  <c r="AK37" i="4"/>
  <c r="AJ37" i="4"/>
  <c r="AI37" i="4"/>
  <c r="AL36" i="4"/>
  <c r="F36" i="4" s="1"/>
  <c r="AK36" i="4"/>
  <c r="AJ36" i="4"/>
  <c r="AI36" i="4"/>
  <c r="F48" i="4" l="1"/>
  <c r="F50" i="4"/>
  <c r="F75" i="4"/>
  <c r="F37" i="4"/>
  <c r="G9" i="6" s="1"/>
  <c r="F49" i="4"/>
  <c r="F51" i="4"/>
  <c r="G9" i="8" s="1"/>
  <c r="F53" i="4"/>
  <c r="F76" i="4"/>
  <c r="F78" i="4"/>
  <c r="F77" i="4"/>
  <c r="F80" i="4"/>
  <c r="F38" i="4"/>
  <c r="F52" i="4"/>
  <c r="F79" i="4"/>
  <c r="F39" i="4"/>
  <c r="F82" i="4"/>
  <c r="C12" i="7"/>
  <c r="AB9" i="10"/>
  <c r="X9" i="10"/>
  <c r="W9" i="10"/>
  <c r="V9" i="10"/>
  <c r="U9" i="10"/>
  <c r="T9" i="10"/>
  <c r="S9" i="10"/>
  <c r="R9" i="10"/>
  <c r="Q9" i="10"/>
  <c r="P9" i="10"/>
  <c r="O9" i="10"/>
  <c r="L9" i="10"/>
  <c r="J9" i="10"/>
  <c r="H9" i="10"/>
  <c r="AB9" i="7"/>
  <c r="X9" i="7"/>
  <c r="W9" i="7"/>
  <c r="V9" i="7"/>
  <c r="T9" i="7"/>
  <c r="S9" i="7"/>
  <c r="R9" i="7"/>
  <c r="Q9" i="7"/>
  <c r="O9" i="7"/>
  <c r="L9" i="7"/>
  <c r="J9" i="7"/>
  <c r="H9" i="7"/>
  <c r="G9" i="7"/>
  <c r="B5" i="12"/>
  <c r="B6" i="12"/>
  <c r="B7" i="12"/>
  <c r="B8" i="12"/>
  <c r="B4" i="12"/>
  <c r="E4" i="12" s="1"/>
  <c r="G4" i="12" l="1"/>
  <c r="F4" i="12"/>
  <c r="D4" i="12"/>
  <c r="A6" i="12"/>
  <c r="E6" i="12" s="1"/>
  <c r="A7" i="12"/>
  <c r="A8" i="12"/>
  <c r="A9" i="12"/>
  <c r="A5" i="12"/>
  <c r="D8" i="12" l="1"/>
  <c r="E8" i="12"/>
  <c r="F5" i="12"/>
  <c r="E5" i="12"/>
  <c r="G9" i="12"/>
  <c r="E9" i="12"/>
  <c r="F7" i="12"/>
  <c r="E7" i="12"/>
  <c r="F9" i="12"/>
  <c r="D7" i="12"/>
  <c r="F6" i="12"/>
  <c r="D6" i="12"/>
  <c r="G7" i="12"/>
  <c r="G8" i="12"/>
  <c r="F8" i="12"/>
  <c r="D9" i="12"/>
  <c r="G6" i="12"/>
  <c r="G5" i="12"/>
  <c r="S27" i="8" s="1"/>
  <c r="K9" i="8" s="1"/>
  <c r="D5" i="12"/>
  <c r="S29" i="7" s="1"/>
  <c r="K9" i="7" s="1"/>
  <c r="C12" i="8"/>
  <c r="I9" i="10"/>
  <c r="I9" i="7"/>
  <c r="I9" i="8"/>
  <c r="U27" i="8"/>
  <c r="U27" i="10"/>
  <c r="U29" i="7"/>
  <c r="S27" i="10" l="1"/>
  <c r="K9" i="10" s="1"/>
</calcChain>
</file>

<file path=xl/sharedStrings.xml><?xml version="1.0" encoding="utf-8"?>
<sst xmlns="http://schemas.openxmlformats.org/spreadsheetml/2006/main" count="1674" uniqueCount="355">
  <si>
    <t>WATER DATA</t>
  </si>
  <si>
    <t>BURNER DATA</t>
  </si>
  <si>
    <t>ELECTRICAL DATA</t>
  </si>
  <si>
    <t>LOCATION</t>
  </si>
  <si>
    <t>SERVICE</t>
  </si>
  <si>
    <t>FUEL</t>
  </si>
  <si>
    <t>APPROVAL</t>
  </si>
  <si>
    <t>FLA</t>
  </si>
  <si>
    <t>MODEL</t>
  </si>
  <si>
    <t>B-1..B-X</t>
  </si>
  <si>
    <t>MER</t>
  </si>
  <si>
    <t>HEATING</t>
  </si>
  <si>
    <t>653 / 720</t>
  </si>
  <si>
    <t>30/50/75/100/150</t>
  </si>
  <si>
    <t>25 / 175</t>
  </si>
  <si>
    <t>34 x 28 x 78</t>
  </si>
  <si>
    <t>120/1/60</t>
  </si>
  <si>
    <t>1. VENTLESS GAS TRAIN</t>
  </si>
  <si>
    <t>UNIT NO.</t>
  </si>
  <si>
    <t>RELIEF VALVE PRESSURE (PSIG)</t>
  </si>
  <si>
    <t>BOILER PRESSURE RATING (PSIG)</t>
  </si>
  <si>
    <t>BOILER MIN/MAX WATER FLOW (GPM)</t>
  </si>
  <si>
    <t>GAS INPUT (CFH)</t>
  </si>
  <si>
    <t>4 - 14</t>
  </si>
  <si>
    <t>BOILER TYPE</t>
  </si>
  <si>
    <t>UNIT OPERATING WEIGHT (LBS)</t>
  </si>
  <si>
    <t>BURNER MOTOR HP</t>
  </si>
  <si>
    <t>UL LISTING NO.</t>
  </si>
  <si>
    <t>NATURAL GAS</t>
  </si>
  <si>
    <t>MH15883</t>
  </si>
  <si>
    <t>NET OUTPUT (MBH) (160/80 DEG F RWT)</t>
  </si>
  <si>
    <t>NOTES:</t>
  </si>
  <si>
    <t>3. MAX NOX: 20 PPM, 3% O2 CORRECTED</t>
  </si>
  <si>
    <t>875 / 975</t>
  </si>
  <si>
    <t>1305 / 1425</t>
  </si>
  <si>
    <t>25 / 250</t>
  </si>
  <si>
    <t>34 x 44 x 78</t>
  </si>
  <si>
    <t>1740 / 1900</t>
  </si>
  <si>
    <t>25 / 350</t>
  </si>
  <si>
    <t>58 x 28 x 78</t>
  </si>
  <si>
    <t>2175 / 2375</t>
  </si>
  <si>
    <t>68 x 28 x 78</t>
  </si>
  <si>
    <t>3. MAX NOX: 30 PPM, 3% O2 CORRECTED</t>
  </si>
  <si>
    <t>2625 / 2925</t>
  </si>
  <si>
    <t>25 / 375</t>
  </si>
  <si>
    <t>75 / 600</t>
  </si>
  <si>
    <t>3.0 PSIG @ 100 GPM</t>
  </si>
  <si>
    <t>UL/FM/CSD-1</t>
  </si>
  <si>
    <t>--</t>
  </si>
  <si>
    <t>208/3/60
460/3/60</t>
  </si>
  <si>
    <t>10
5</t>
  </si>
  <si>
    <t>5220 / 5670</t>
  </si>
  <si>
    <t>3.0 PSIG @ 170 GPM</t>
  </si>
  <si>
    <t>3.0 PSIG @ 218 GPM</t>
  </si>
  <si>
    <t>3.0 PSIG @ 261 GPM</t>
  </si>
  <si>
    <t>4.0 PSIG @ 500 GPM</t>
  </si>
  <si>
    <t>2. MINIMUM TURNDOWN: --</t>
  </si>
  <si>
    <t>2. MINIMUM TURNDOWN: 15:1</t>
  </si>
  <si>
    <t>2. MINIMUM TURNDOWN: 20:1</t>
  </si>
  <si>
    <t>3. MAX NOX: --</t>
  </si>
  <si>
    <t>3.0
3.2</t>
  </si>
  <si>
    <t>VOLT/PHASE/HZ</t>
  </si>
  <si>
    <t>DIMENSIONS            L x W x H (IN)</t>
  </si>
  <si>
    <t>MIN/MAX GAS INLET PRESSURE            (IN W.C.)</t>
  </si>
  <si>
    <t>PRESSURE DROP</t>
  </si>
  <si>
    <t>AERCO AM Series Boiler Schedules</t>
  </si>
  <si>
    <t>NET OUTPUT (MBH) (160/60 DEG F RWT)</t>
  </si>
  <si>
    <t>NUMBER OF     BURNER MODULES</t>
  </si>
  <si>
    <t>AM 500</t>
  </si>
  <si>
    <t>AM 399</t>
  </si>
  <si>
    <t>AM 750</t>
  </si>
  <si>
    <t>AM 1000</t>
  </si>
  <si>
    <t>PRESSURE DROP AT MAX FLOW            (FT. HD.)</t>
  </si>
  <si>
    <t>3 / 13</t>
  </si>
  <si>
    <t>2. MINIMUM TURNDOWN: 8:1</t>
  </si>
  <si>
    <t>2. MINIMUM TURNDOWN: 10:1</t>
  </si>
  <si>
    <t>34.8 X 23.6 X 45.7</t>
  </si>
  <si>
    <t>35.3 X 23.6 X 71.3</t>
  </si>
  <si>
    <t>CONDENSING WATER TUBE</t>
  </si>
  <si>
    <t>1. INTEGRAL CONDENSATE NEUTRALIZATION</t>
  </si>
  <si>
    <t>AHRI EFFICIENCY (BTS-2000)            (%)</t>
  </si>
  <si>
    <t>OPERATING PRESSURE (PSIG)</t>
  </si>
  <si>
    <t>DESIGN FLOW (GPM)</t>
  </si>
  <si>
    <t>DESIGN        DELTA T         (DEG F)</t>
  </si>
  <si>
    <t>DESIGN DELTA T (DEG F)</t>
  </si>
  <si>
    <t>CLICK HERE TO SELECT REQUIRED BOILER SIZE</t>
  </si>
  <si>
    <t>Operating Pressure = System Design Pressure</t>
  </si>
  <si>
    <t>Relief Valve Pressure = 20% higher than the Operating Pressure rounded up to the nearest valve rating</t>
  </si>
  <si>
    <t>Boiler Pressure Rating = Maximum allowable vessel pressure per ASME standards</t>
  </si>
  <si>
    <t>Operating Pressure:</t>
  </si>
  <si>
    <t>Relief Valve Pressure:</t>
  </si>
  <si>
    <t>&lt;-- Insert Operating Pressure</t>
  </si>
  <si>
    <t>All AERCO AM Boilers ship standard with 50 PSIG relief valves. For systems operating at pressures in excess of 35 PSIG the relief valves must be provided and installed by the installing contractor. 
The number of relief valves per boiler equals the number of burner modules (see schedule above).</t>
  </si>
  <si>
    <r>
      <rPr>
        <b/>
        <u/>
        <sz val="12"/>
        <color theme="1"/>
        <rFont val="Calibri (Body)"/>
      </rPr>
      <t>Relief Valve Selection Tool:</t>
    </r>
    <r>
      <rPr>
        <i/>
        <u/>
        <sz val="12"/>
        <color theme="1"/>
        <rFont val="Calibri"/>
        <family val="2"/>
        <scheme val="minor"/>
      </rPr>
      <t xml:space="preserve">
</t>
    </r>
    <r>
      <rPr>
        <b/>
        <i/>
        <sz val="12"/>
        <color theme="0"/>
        <rFont val="Calibri (Body)"/>
      </rPr>
      <t/>
    </r>
  </si>
  <si>
    <t>Relief Valve Information:</t>
  </si>
  <si>
    <t>4350 / 4725</t>
  </si>
  <si>
    <t>2. MINIMUM TURNDOWN: 12.5:1</t>
  </si>
  <si>
    <t>BOILER SCHEDULE</t>
  </si>
  <si>
    <t>PRESSURE       DROP</t>
  </si>
  <si>
    <t>MIN-MAX GAS   INLET PRESSURE             (IN W.C.)</t>
  </si>
  <si>
    <t>DIMENSIONS             L x W x H (IN)</t>
  </si>
  <si>
    <t>10. BOILER STAGING POINT NOT TO EXCEED 40%</t>
  </si>
  <si>
    <r>
      <t>VERSION 2.4</t>
    </r>
    <r>
      <rPr>
        <sz val="12"/>
        <color rgb="FF377AC2"/>
        <rFont val="Calibri (Body)"/>
      </rPr>
      <t>__</t>
    </r>
  </si>
  <si>
    <r>
      <t>VERSION 2.4</t>
    </r>
    <r>
      <rPr>
        <sz val="12"/>
        <color rgb="FF3279C7"/>
        <rFont val="Calibri (Body)"/>
      </rPr>
      <t>__</t>
    </r>
  </si>
  <si>
    <t>4. BOILER SHALL BE CAPABLE OF UTILIZING NON-METALLIC VENT</t>
  </si>
  <si>
    <t>5. BMK COMMUNICATION: INTEGRATED BACNET</t>
  </si>
  <si>
    <t>6. PROVIDE BOILER SEQUENCING WITH HW RESET</t>
  </si>
  <si>
    <t>11. BOILER MANUFACTURE TO PROVIDE 10- YEAR NON-PRORATED HEAT EXCHANGER WARRANTY</t>
  </si>
  <si>
    <t>12. BOILER MANUFACTURE TO PROVIDE 2- YEAR NON-PRORATED CONTROLLER WARRANTY</t>
  </si>
  <si>
    <t>13. BOILER MANUFACTURE TO PROVIDE LETTER OF GUARANTEE FOR AS BUILT FLUE AND COMBUSTION AIR INSTALLATION</t>
  </si>
  <si>
    <t>14. PROVIDE CONDENSATE NEUTRALIZER FOR EACH BOILER AND COMMON FLUE DRAINS</t>
  </si>
  <si>
    <t>15. ALTERNATE MANUFACTURES MUST COMPLY WITH ALL BASIS OF DESIGN PERFORMANCE, SAFETY, DURABILITY WARRANTY AND SYSTEM DESIGN REQUIREMENTS</t>
  </si>
  <si>
    <t>CONDENSING FIRE TUBE</t>
  </si>
  <si>
    <t>BOILER CAPACITY (GAL)</t>
  </si>
  <si>
    <t>MANUFACTURE</t>
  </si>
  <si>
    <t>AERCO</t>
  </si>
  <si>
    <t>UL LISTING NUMBER</t>
  </si>
  <si>
    <t xml:space="preserve">6. COMBUSTION O2 LEVELS SHALL NOT EXCEED 7% THROUGHOUT ENTIRE FIRING RANGE. </t>
  </si>
  <si>
    <t>7. BOILER MANUFACTURER TO PROVIDE AND CONTROL, FIELD INSTALLED, MOTORIZED ISOLATION VALVES ON EACH BOILER</t>
  </si>
  <si>
    <t>8. PROVIDE BOILER SEQUENCING WITH HW RESET</t>
  </si>
  <si>
    <t>AERCO MFC Series Boiler Schedules</t>
  </si>
  <si>
    <t>CSA/CSD-1</t>
  </si>
  <si>
    <t>MFC 3000</t>
  </si>
  <si>
    <t>MFC 4000</t>
  </si>
  <si>
    <t>MFC 5000</t>
  </si>
  <si>
    <t>MFC 6000</t>
  </si>
  <si>
    <t>MFC 8000</t>
  </si>
  <si>
    <t>MFC 10000</t>
  </si>
  <si>
    <t>INN 600</t>
  </si>
  <si>
    <t>INN 800</t>
  </si>
  <si>
    <t>INN 1060</t>
  </si>
  <si>
    <t>INN 1350</t>
  </si>
  <si>
    <t>WATER HEATER TYPE</t>
  </si>
  <si>
    <t>WATER HEATER SCHEDULE</t>
  </si>
  <si>
    <t>CAPACITY (GAL)</t>
  </si>
  <si>
    <t>PRESSURE RATING (PSIG)</t>
  </si>
  <si>
    <r>
      <rPr>
        <b/>
        <u/>
        <sz val="12"/>
        <color theme="1"/>
        <rFont val="Calibri (Body)"/>
      </rPr>
      <t>Schedule Selector Instructions:</t>
    </r>
    <r>
      <rPr>
        <sz val="12"/>
        <color theme="1"/>
        <rFont val="Calibri"/>
        <family val="2"/>
        <scheme val="minor"/>
      </rPr>
      <t xml:space="preserve">
</t>
    </r>
    <r>
      <rPr>
        <i/>
        <u/>
        <sz val="12"/>
        <color theme="1"/>
        <rFont val="Calibri"/>
        <family val="2"/>
        <scheme val="minor"/>
      </rPr>
      <t xml:space="preserve">
</t>
    </r>
    <r>
      <rPr>
        <b/>
        <i/>
        <sz val="12"/>
        <color theme="1"/>
        <rFont val="Calibri (Body)"/>
      </rPr>
      <t>Step 1:</t>
    </r>
    <r>
      <rPr>
        <b/>
        <sz val="12"/>
        <color theme="1"/>
        <rFont val="Calibri"/>
        <family val="2"/>
        <scheme val="minor"/>
      </rPr>
      <t xml:space="preserve"> </t>
    </r>
    <r>
      <rPr>
        <sz val="12"/>
        <color theme="1"/>
        <rFont val="Calibri"/>
        <family val="2"/>
        <scheme val="minor"/>
      </rPr>
      <t xml:space="preserve">Select "CLICK HERE TO SELECT REQUIRED BOILER SIZE" and use the drop down menu to select the appropriate boiler model number.
</t>
    </r>
    <r>
      <rPr>
        <b/>
        <i/>
        <sz val="12"/>
        <color theme="1"/>
        <rFont val="Calibri"/>
        <family val="2"/>
        <scheme val="minor"/>
      </rPr>
      <t>Step 2:</t>
    </r>
    <r>
      <rPr>
        <sz val="12"/>
        <color theme="1"/>
        <rFont val="Calibri"/>
        <family val="2"/>
        <scheme val="minor"/>
      </rPr>
      <t xml:space="preserve"> The schedule will auto populate, any cell with </t>
    </r>
    <r>
      <rPr>
        <sz val="12"/>
        <color rgb="FFFF0000"/>
        <rFont val="Calibri (Body)"/>
      </rPr>
      <t>RED</t>
    </r>
    <r>
      <rPr>
        <sz val="12"/>
        <color theme="1"/>
        <rFont val="Calibri"/>
        <family val="2"/>
        <scheme val="minor"/>
      </rPr>
      <t xml:space="preserve"> text requires editing. Notes in </t>
    </r>
    <r>
      <rPr>
        <sz val="12"/>
        <color rgb="FFFF0000"/>
        <rFont val="Calibri (Body)"/>
      </rPr>
      <t>RED</t>
    </r>
    <r>
      <rPr>
        <sz val="12"/>
        <color theme="1"/>
        <rFont val="Calibri"/>
        <family val="2"/>
        <scheme val="minor"/>
      </rPr>
      <t xml:space="preserve"> are optional.
</t>
    </r>
    <r>
      <rPr>
        <b/>
        <i/>
        <sz val="12"/>
        <color theme="1"/>
        <rFont val="Calibri"/>
        <family val="2"/>
        <scheme val="minor"/>
      </rPr>
      <t xml:space="preserve">Step 3: </t>
    </r>
    <r>
      <rPr>
        <sz val="12"/>
        <color theme="1"/>
        <rFont val="Calibri"/>
        <family val="2"/>
        <scheme val="minor"/>
      </rPr>
      <t>C</t>
    </r>
    <r>
      <rPr>
        <sz val="12"/>
        <color theme="1"/>
        <rFont val="Calibri"/>
        <family val="2"/>
        <scheme val="minor"/>
      </rPr>
      <t xml:space="preserve">opy and paste the completed schedule into the program of your choice.
</t>
    </r>
  </si>
  <si>
    <r>
      <rPr>
        <b/>
        <u/>
        <sz val="12"/>
        <color theme="1"/>
        <rFont val="Calibri (Body)"/>
      </rPr>
      <t>Schedule Selector Instructions:</t>
    </r>
    <r>
      <rPr>
        <sz val="12"/>
        <color theme="1"/>
        <rFont val="Calibri"/>
        <family val="2"/>
        <scheme val="minor"/>
      </rPr>
      <t xml:space="preserve">
</t>
    </r>
    <r>
      <rPr>
        <i/>
        <u/>
        <sz val="12"/>
        <color theme="1"/>
        <rFont val="Calibri"/>
        <family val="2"/>
        <scheme val="minor"/>
      </rPr>
      <t xml:space="preserve">
</t>
    </r>
    <r>
      <rPr>
        <b/>
        <i/>
        <sz val="12"/>
        <color theme="1"/>
        <rFont val="Calibri (Body)"/>
      </rPr>
      <t>Step 1:</t>
    </r>
    <r>
      <rPr>
        <b/>
        <sz val="12"/>
        <color theme="1"/>
        <rFont val="Calibri"/>
        <family val="2"/>
        <scheme val="minor"/>
      </rPr>
      <t xml:space="preserve"> </t>
    </r>
    <r>
      <rPr>
        <sz val="12"/>
        <color theme="1"/>
        <rFont val="Calibri"/>
        <family val="2"/>
        <scheme val="minor"/>
      </rPr>
      <t xml:space="preserve">Select "CLICK HERE TO SELECT REQUIRED BOILER SIZE" and use the drop down menu to select the appropriate boiler model number.
</t>
    </r>
    <r>
      <rPr>
        <b/>
        <i/>
        <sz val="12"/>
        <color theme="1"/>
        <rFont val="Calibri"/>
        <family val="2"/>
        <scheme val="minor"/>
      </rPr>
      <t>Step 2:</t>
    </r>
    <r>
      <rPr>
        <sz val="12"/>
        <color theme="1"/>
        <rFont val="Calibri"/>
        <family val="2"/>
        <scheme val="minor"/>
      </rPr>
      <t xml:space="preserve"> The schedule will auto populate, any cell with </t>
    </r>
    <r>
      <rPr>
        <sz val="12"/>
        <color rgb="FFFF0000"/>
        <rFont val="Calibri (Body)"/>
      </rPr>
      <t>RED</t>
    </r>
    <r>
      <rPr>
        <sz val="12"/>
        <color theme="1"/>
        <rFont val="Calibri"/>
        <family val="2"/>
        <scheme val="minor"/>
      </rPr>
      <t xml:space="preserve"> text requires editing. Notes in </t>
    </r>
    <r>
      <rPr>
        <sz val="12"/>
        <color rgb="FFFF0000"/>
        <rFont val="Calibri (Body)"/>
      </rPr>
      <t>RED</t>
    </r>
    <r>
      <rPr>
        <sz val="12"/>
        <color theme="1"/>
        <rFont val="Calibri"/>
        <family val="2"/>
        <scheme val="minor"/>
      </rPr>
      <t xml:space="preserve"> are optional.
</t>
    </r>
    <r>
      <rPr>
        <b/>
        <i/>
        <sz val="12"/>
        <color theme="1"/>
        <rFont val="Calibri"/>
        <family val="2"/>
        <scheme val="minor"/>
      </rPr>
      <t xml:space="preserve">Step 3: </t>
    </r>
    <r>
      <rPr>
        <sz val="12"/>
        <color theme="1"/>
        <rFont val="Calibri"/>
        <family val="2"/>
        <scheme val="minor"/>
      </rPr>
      <t>C</t>
    </r>
    <r>
      <rPr>
        <sz val="12"/>
        <color theme="1"/>
        <rFont val="Calibri"/>
        <family val="2"/>
        <scheme val="minor"/>
      </rPr>
      <t xml:space="preserve">opy and paste the completed schedule into the program of your choice.
</t>
    </r>
    <r>
      <rPr>
        <sz val="12"/>
        <color theme="1"/>
        <rFont val="Calibri"/>
        <family val="2"/>
        <scheme val="minor"/>
      </rPr>
      <t xml:space="preserve">
</t>
    </r>
  </si>
  <si>
    <r>
      <rPr>
        <b/>
        <u/>
        <sz val="12"/>
        <color theme="1"/>
        <rFont val="Calibri (Body)"/>
      </rPr>
      <t>Schedule Selector Instructions:</t>
    </r>
    <r>
      <rPr>
        <sz val="12"/>
        <color theme="1"/>
        <rFont val="Calibri"/>
        <family val="2"/>
        <scheme val="minor"/>
      </rPr>
      <t xml:space="preserve">
</t>
    </r>
    <r>
      <rPr>
        <i/>
        <u/>
        <sz val="12"/>
        <color theme="1"/>
        <rFont val="Calibri"/>
        <family val="2"/>
        <scheme val="minor"/>
      </rPr>
      <t xml:space="preserve">
</t>
    </r>
    <r>
      <rPr>
        <b/>
        <i/>
        <sz val="12"/>
        <color theme="1"/>
        <rFont val="Calibri (Body)"/>
      </rPr>
      <t>Step 1:</t>
    </r>
    <r>
      <rPr>
        <b/>
        <sz val="12"/>
        <color theme="1"/>
        <rFont val="Calibri"/>
        <family val="2"/>
        <scheme val="minor"/>
      </rPr>
      <t xml:space="preserve"> </t>
    </r>
    <r>
      <rPr>
        <sz val="12"/>
        <color theme="1"/>
        <rFont val="Calibri"/>
        <family val="2"/>
        <scheme val="minor"/>
      </rPr>
      <t xml:space="preserve">Select "CLICK HERE TO SELECT REQUIRED BOILER SIZE" and use the drop down menu to select the appropriate boiler model number.
</t>
    </r>
    <r>
      <rPr>
        <b/>
        <i/>
        <sz val="12"/>
        <color theme="1"/>
        <rFont val="Calibri"/>
        <family val="2"/>
        <scheme val="minor"/>
      </rPr>
      <t>Step 2:</t>
    </r>
    <r>
      <rPr>
        <sz val="12"/>
        <color theme="1"/>
        <rFont val="Calibri"/>
        <family val="2"/>
        <scheme val="minor"/>
      </rPr>
      <t xml:space="preserve"> The schedule will auto populate, any cell with </t>
    </r>
    <r>
      <rPr>
        <sz val="12"/>
        <color rgb="FFFF0000"/>
        <rFont val="Calibri (Body)"/>
      </rPr>
      <t>RED</t>
    </r>
    <r>
      <rPr>
        <sz val="12"/>
        <color theme="1"/>
        <rFont val="Calibri"/>
        <family val="2"/>
        <scheme val="minor"/>
      </rPr>
      <t xml:space="preserve"> text requires editing.
</t>
    </r>
    <r>
      <rPr>
        <b/>
        <i/>
        <sz val="12"/>
        <color theme="1"/>
        <rFont val="Calibri"/>
        <family val="2"/>
        <scheme val="minor"/>
      </rPr>
      <t xml:space="preserve">Step 3: </t>
    </r>
    <r>
      <rPr>
        <sz val="12"/>
        <color theme="1"/>
        <rFont val="Calibri"/>
        <family val="2"/>
        <scheme val="minor"/>
      </rPr>
      <t>Copy</t>
    </r>
    <r>
      <rPr>
        <sz val="12"/>
        <color theme="1"/>
        <rFont val="Calibri"/>
        <family val="2"/>
        <scheme val="minor"/>
      </rPr>
      <t xml:space="preserve"> and paste the completed schedule into the program of your choice.
</t>
    </r>
  </si>
  <si>
    <t>HW-1..HW-X</t>
  </si>
  <si>
    <t>DOMESTIC</t>
  </si>
  <si>
    <t>HEATER MIN/MAX WATER FLOW (GPM)</t>
  </si>
  <si>
    <t>0/50</t>
  </si>
  <si>
    <t>CAST AL</t>
  </si>
  <si>
    <t>NET OUTPUT (MBH) (160/100 DEG F RWT)</t>
  </si>
  <si>
    <t>EFFICIENCY
(%)</t>
  </si>
  <si>
    <t>30/50/60/75/80</t>
  </si>
  <si>
    <t>20 / 350</t>
  </si>
  <si>
    <t>27 / 520</t>
  </si>
  <si>
    <t>33 / 610</t>
  </si>
  <si>
    <t>40 / 750</t>
  </si>
  <si>
    <t>53 / 1000</t>
  </si>
  <si>
    <t>67 / 1100</t>
  </si>
  <si>
    <t>2.4 PSIG @ 300 GPM</t>
  </si>
  <si>
    <t>1.0 PSIG @ 400 GPM</t>
  </si>
  <si>
    <t>1.3 PSIG @ 500 GPM</t>
  </si>
  <si>
    <t>1.9 PSIG @ 600 GPM</t>
  </si>
  <si>
    <t>1.1 PSIG @ 800 GPM</t>
  </si>
  <si>
    <t>1.7 PSIG @ 1000 GPM</t>
  </si>
  <si>
    <t>NAT. GAS/
#2 FUEL OIL</t>
  </si>
  <si>
    <t>14 - 28</t>
  </si>
  <si>
    <t>28 - 56</t>
  </si>
  <si>
    <t>208/3/60
460/3/60
575/3/60</t>
  </si>
  <si>
    <t>11.4
5.8
4.5</t>
  </si>
  <si>
    <t>16.8
7.6
6.2</t>
  </si>
  <si>
    <t>25.8
11.7
10.2</t>
  </si>
  <si>
    <t>HP
BURNER MOTOR/
OIL PUMP</t>
  </si>
  <si>
    <t>3.0 / 1.0</t>
  </si>
  <si>
    <t>7.5 / 1.0</t>
  </si>
  <si>
    <t>7.5 / 2.0</t>
  </si>
  <si>
    <t>172 x 54 x 84</t>
  </si>
  <si>
    <t>174 x 59 x 88</t>
  </si>
  <si>
    <t>186 x 59 x 88</t>
  </si>
  <si>
    <t>193 x 71 x 101</t>
  </si>
  <si>
    <t>220 x 71 x 102</t>
  </si>
  <si>
    <t>240 x 71 x 102</t>
  </si>
  <si>
    <t>MH61241</t>
  </si>
  <si>
    <t>MBH input</t>
  </si>
  <si>
    <t>Eff 160 return</t>
  </si>
  <si>
    <t>Eff 100 return</t>
  </si>
  <si>
    <t>BTU/hr to BHP conv</t>
  </si>
  <si>
    <t>BHP 160 RWT</t>
  </si>
  <si>
    <t>BHP 100 RWT</t>
  </si>
  <si>
    <t>NET OUTPUT MBH 160 RWT</t>
  </si>
  <si>
    <t>NET OUTPUT MBH 100 RWT</t>
  </si>
  <si>
    <t>2. MAX NOX: --</t>
  </si>
  <si>
    <t>2. MAX NOX: 30 PPM, 3% O2 CORRECTED</t>
  </si>
  <si>
    <t>2. MAX NOX: 40 PPM, 3% O2 CORRECTED2</t>
  </si>
  <si>
    <t>2. MAX NOX: 40 PPM, 3% O2 CORRECTED</t>
  </si>
  <si>
    <t>4. PROVIDE BOILER SEQUENCER WITH HW RESET, RUNTIME EQUALIZATION, AND MODBUS BAS COMMUNICATION</t>
  </si>
  <si>
    <t>5. THE BOILER MUST HAVE A FACTORY INSTALLED DUAL RETURN SYSTEM TO INCREASE THE PLANT EFFICIENCY</t>
  </si>
  <si>
    <t>6. BOILER MANUFACTURE TO PROVIDE 5-YEAR NON-PRORATED HEAT EXCHANGER WARRANTY</t>
  </si>
  <si>
    <t>7. BOILER MANUFACTURE TO PROVIDE LETTER OF GUARANTEE FOR AS BUILT FLUE AND COMBUSTION AIR INSTALLATION</t>
  </si>
  <si>
    <t>8. ALTERNATE MANUFACTURES MUST COMPLY WITH ALL BASIS OF DESIGN PERFORMANCE, SAFETY, DURABILITY WARRANTY AND SYSTEM DESIGN REQUIREMENTS</t>
  </si>
  <si>
    <t>9. PROVIDE CONDENSATE NEUTRALIZER FOR EACH BOILER AND COMMON FLUE DRAINS</t>
  </si>
  <si>
    <t>18 / 42</t>
  </si>
  <si>
    <t>24 / 56</t>
  </si>
  <si>
    <t>30 / 71</t>
  </si>
  <si>
    <t>42 / 99</t>
  </si>
  <si>
    <t>56 / 113</t>
  </si>
  <si>
    <t>84 / 169</t>
  </si>
  <si>
    <t>99 / 197</t>
  </si>
  <si>
    <t>113 / 225</t>
  </si>
  <si>
    <t>11.8 FT.HD. @ 42 GPM</t>
  </si>
  <si>
    <t>9.2 FT.HD. @ 56 GPM</t>
  </si>
  <si>
    <t>9.7 FT.HD. @ 71 GPM</t>
  </si>
  <si>
    <t>9.5 FT.HD. @ 99 GPM</t>
  </si>
  <si>
    <t>7.9 FT.HD. @ 113 GPM</t>
  </si>
  <si>
    <t>16.4 FT.HD. @ 169 GPM</t>
  </si>
  <si>
    <t>17.8 FT.HD. @ 197 GPM</t>
  </si>
  <si>
    <t>13.2 FT.HD. @ 225 GPM</t>
  </si>
  <si>
    <t>3.5 - 10.5</t>
  </si>
  <si>
    <t>4 - 10.5</t>
  </si>
  <si>
    <t>30.3 x 30 x 45.3</t>
  </si>
  <si>
    <t>30.3 x 40.6 x 45.3</t>
  </si>
  <si>
    <t>30.3 x 51.2 x 45.3</t>
  </si>
  <si>
    <t>38.3 x 42.8 x 57.2</t>
  </si>
  <si>
    <t>38.3 x 53.3 x 57.2</t>
  </si>
  <si>
    <t>38.3 x 63.9 x 57.2</t>
  </si>
  <si>
    <t>MH49893</t>
  </si>
  <si>
    <t>2. MINIMUM TURNDOWN: 10.5:1</t>
  </si>
  <si>
    <t>2. MINIMUM TURNDOWN: 14:1</t>
  </si>
  <si>
    <t>2. MINIMUM TURNDOWN: 17.5:1</t>
  </si>
  <si>
    <t>2. MINIMUM TURNDOWN: 24.5:1</t>
  </si>
  <si>
    <t>2. MINIMUM TURNDOWN: 19.6:1</t>
  </si>
  <si>
    <t>2. MINIMUM TURNDOWN: 29:1</t>
  </si>
  <si>
    <t>2. MINIMUM TURNDOWN: 34:1</t>
  </si>
  <si>
    <t>2. MINIMUM TURNDOWN: 39:1</t>
  </si>
  <si>
    <t xml:space="preserve">All MLX EXT Boilers ship standard with 80 PSIG relief valves. For systems operating at pressures in excess of 65 PSIG the relief valves must be provided and installed by the installing contractor. </t>
  </si>
  <si>
    <t>Relief Valve Pressure = 15 PSI higher than the Operating Pressure rounded up to the nearest valve rating</t>
  </si>
  <si>
    <t xml:space="preserve">6. COMBUSTION O2 LEVELS SHALL NOT EXCEED 6% THROUGHOUT ENTIRE FIRING RANGE. </t>
  </si>
  <si>
    <t xml:space="preserve">5.BOILER SHALL BE RATED FOR OUTDDOR INSTALLATION. </t>
  </si>
  <si>
    <t>7. MLX EXT COMMUNICATION: INTEGRATED MODBUS</t>
  </si>
  <si>
    <t>9. BOILER STAGING POINT NOT TO EXCEED 20%</t>
  </si>
  <si>
    <t>10. BOILER MANUFACTURE TO PROVIDE 10- YEAR NON-PRORATED HEAT EXCHANGER WARRANTY</t>
  </si>
  <si>
    <t>11. BOILER MANUFACTURE TO PROVIDE 5- YEAR NON-PRORATED CONTROLLER WARRANTY</t>
  </si>
  <si>
    <t>12. BOILER MANUFACTURE TO PROVIDE LETTER OF GUARANTEE FOR AS BUILT FLUE AND COMBUSTION AIR INSTALLATION</t>
  </si>
  <si>
    <t>13. PROVIDE CONDENSATE NEUTRALIZER FOR EACH BOILER AND COMMON FLUE DRAINS</t>
  </si>
  <si>
    <t>14. ALTERNATE MANUFACTURES MUST COMPLY WITH ALL BASIS OF DESIGN PERFORMANCE, SAFETY, DURABILITY WARRANTY AND SYSTEM DESIGN REQUIREMENTS</t>
  </si>
  <si>
    <t>AERCO MLX EXT Series Boiler Schedules</t>
  </si>
  <si>
    <t>6. AM BOILER  COMMUNICATION: INTEGRATED MODBUS</t>
  </si>
  <si>
    <t>7. PROVIDE BOILER SEQUENCER FOR MULTIPLE BOILER INSTALLATIONS</t>
  </si>
  <si>
    <t>8. BOILER MANUFACTURE TO PROVIDE 7- YEAR NON-PRORATED HEAT EXCHANGER WARRANTY</t>
  </si>
  <si>
    <t>9. MANUFACTURER TO INCLUDE INSTALLATION KIT CONTAINING: BOILER PUMP, CIRCUIT SETTER, STRAINER &amp; ISOLATION VALVE</t>
  </si>
  <si>
    <t>10. BOILER MANUFACTURE TO PROVIDE LETTER OF GUARANTEE FOR AS BUILT FLUE AND COMBUSTION AIR INSTALLATION</t>
  </si>
  <si>
    <t>11. ALTERNATE MANUFACTURERS MUST COMPLY WITH ALL PERFORMANCE, SAFETY, DURABILITY, WARRANTY, AND SYSTEM DESIGN REQUIREMENTS AS DETAILED IN CONTRACT SPECIFICATIONS.</t>
  </si>
  <si>
    <t xml:space="preserve">5. COMBUSTION O2 LEVELS SHALL NOT EXCEED 7% THROUGHOUT ENTIRE FIRING RANGE. </t>
  </si>
  <si>
    <t>11 / 40</t>
  </si>
  <si>
    <t>12 / 40</t>
  </si>
  <si>
    <t>14 / 60</t>
  </si>
  <si>
    <t>18 / 80</t>
  </si>
  <si>
    <t>Eff 80 return</t>
  </si>
  <si>
    <t>BHP 80 RWT</t>
  </si>
  <si>
    <t>NET OUTPUT MBH 80 RWT</t>
  </si>
  <si>
    <t>Eff 60 return</t>
  </si>
  <si>
    <t>BHP 60 RWT</t>
  </si>
  <si>
    <t>NET OUTPUT MBH 60 RWT</t>
  </si>
  <si>
    <t xml:space="preserve">3. COMBUSTION O2 LEVELS SHALL NOT EXCEED 6% THROUGHOUT ENTIRE FIRING RANGE. </t>
  </si>
  <si>
    <t>108 x 35 x 79</t>
  </si>
  <si>
    <t>Relief Valve</t>
  </si>
  <si>
    <t>Max Operating Press</t>
  </si>
  <si>
    <t>Design Pressure</t>
  </si>
  <si>
    <t>Min Operating press</t>
  </si>
  <si>
    <t>MFC Eval</t>
  </si>
  <si>
    <t>19
9
7</t>
  </si>
  <si>
    <t>Consult Aerco</t>
  </si>
  <si>
    <t>4 - 10
14 - 56</t>
  </si>
  <si>
    <t>80 
150</t>
  </si>
  <si>
    <t>RV Safety %</t>
  </si>
  <si>
    <t>Select Boiler</t>
  </si>
  <si>
    <t>AERCO Benchmark Platinum with Edge Series Boiler Schedules</t>
  </si>
  <si>
    <t>MINIMUM TURNDOWN</t>
  </si>
  <si>
    <t>MIN Nox</t>
  </si>
  <si>
    <t>BMKP EDGE Eval</t>
  </si>
  <si>
    <t>BMKP CMORE Eval</t>
  </si>
  <si>
    <t>BMK CMORE Eval</t>
  </si>
  <si>
    <t>3480/3840</t>
  </si>
  <si>
    <t>5.0 PSIG @ 475GPM</t>
  </si>
  <si>
    <t>80 x 34 x 79</t>
  </si>
  <si>
    <t>4341/4790</t>
  </si>
  <si>
    <t>35 / 500</t>
  </si>
  <si>
    <t>AERCO Benchmark Standard with EDGE[i] Series Boiler Schedules</t>
  </si>
  <si>
    <t>BMK STANDARD 750 w/ EDGE[i]</t>
  </si>
  <si>
    <t>BMK STANDARD 750 WITH EDGE[i]</t>
  </si>
  <si>
    <t>BMK STANDARD 1000 w/ EDGE[i]</t>
  </si>
  <si>
    <t>BMK STANDARD 1000 WITH EDGE[i]</t>
  </si>
  <si>
    <t>BMK STANDARD 1500 w/ EDGE[i]</t>
  </si>
  <si>
    <t>BMK STANDARD 1500 WITH EDGE[i]</t>
  </si>
  <si>
    <t>BMK STANDARD 2000 w/ EDGE[i]</t>
  </si>
  <si>
    <t>BMK STANDARD 2000 WITH EDGE[i]</t>
  </si>
  <si>
    <t>BMK STANDARD 2500 w/ EDGE[i]</t>
  </si>
  <si>
    <t>BMK STANDARD 2500 WITH EDGE[i]</t>
  </si>
  <si>
    <t>BMK STANDARD 3000 w/ EDGE[i]</t>
  </si>
  <si>
    <t>BMK STANDARD 3000 WITH EDGE[i]</t>
  </si>
  <si>
    <t>BMK STANDARD 4000 WITH EDGE[i]</t>
  </si>
  <si>
    <t>BMK STANDARD 5000 WITH EDGE[i]</t>
  </si>
  <si>
    <t>BMK STANDARD 6000 w/ EDGE[i]</t>
  </si>
  <si>
    <t>BMK STANDARD 6000 WITH EDGE[i]</t>
  </si>
  <si>
    <t>BMK PLATINUM 750 w/ EDGE[ii]</t>
  </si>
  <si>
    <t>BMK PLATINUM 750 WITH EDGE[ii]</t>
  </si>
  <si>
    <t>BMK PLATINUM 1000 w/ EDGE[ii]</t>
  </si>
  <si>
    <t>BMK PLATINUM 1000 WITH EDGE[ii]</t>
  </si>
  <si>
    <t>BMK PLATINUM 1500 w/ EDGE[ii]</t>
  </si>
  <si>
    <t>BMK PLATINUM 1500 WITH EDGE[ii]</t>
  </si>
  <si>
    <t>BMK PLATINUM 2000 w/ EDGE[ii]</t>
  </si>
  <si>
    <t>BMK PLATINUM 2000 WITH EDGE[ii]</t>
  </si>
  <si>
    <t>BMK PLATINUM 2500 w/ EDGE[ii]</t>
  </si>
  <si>
    <t>BMK PLATINUM 2500 WITH EDGE[ii]</t>
  </si>
  <si>
    <t>BMK PLATINUM 3000 w/ EDGE[ii]</t>
  </si>
  <si>
    <t>BMK PLATINUM 3000 WITH EDGE[ii]</t>
  </si>
  <si>
    <t>BMK PLATINUM 4000 w/ EDGE[ii]</t>
  </si>
  <si>
    <t>BMK PLATINUM 4000 WITH EDGE[ii]</t>
  </si>
  <si>
    <t>BMK PLATINUM 5000 w/ EDGE[ii]</t>
  </si>
  <si>
    <t>BMK PLATINUM 5000 WITH EDGE[ii]</t>
  </si>
  <si>
    <t>BMK PLATINUM 6000 w/ EDGE[ii]</t>
  </si>
  <si>
    <t>BMK PLATINUM 6000 WITH EDGE[ii]</t>
  </si>
  <si>
    <t>BMK STANDARD 5000 w/ EDGE[i]</t>
  </si>
  <si>
    <t>BMK PLATINUM 5000N w/ EDGE[ii]</t>
  </si>
  <si>
    <t>BMK PLATINUM 5000N WITH EDGE[ii]</t>
  </si>
  <si>
    <t>BMK STANDARD 5000N WITH EDGE[i]</t>
  </si>
  <si>
    <t>BMK STANDARD 4000 w/ EDGE[i]</t>
  </si>
  <si>
    <t>BMK STANDARD 5000N w/ EDGE[i]</t>
  </si>
  <si>
    <t>7. CONTROLLER SHALL DISPLAY AN ALERT WHEN O2 LEVEL IS ABOVE OR BELOW CRITICAL VALUES.</t>
  </si>
  <si>
    <t>8. COMBUSTION O2 LEVELS SHALL NOT EXCEED 7% THROUGHOUT ENTIRE FIRING RANGE. COMBUSTION SYSTEM SHALL BE CAPABLE OF O2 TRIM IN ORDER TO SELF-CALIBRATE COMBUSTION SETTINGS TO COMPENSATE FOR CHANGING CONDITIONS WHICH CAN IMPACT EFFICIENCY, MAINTENANCE, AND SAFETY FACTORS</t>
  </si>
  <si>
    <t>9. 5-YEAR ONAER REMOTE MONITORING AND ALERTING CONNECTED TO INTERNET VIA HARDLINE OR WI-FI COMMUNICATION MODULE</t>
  </si>
  <si>
    <t>10. BOILER MANUFACTURE TO PROVIDE LOCAL PEER TO PEER BLUETOOTH COMMUNICATION TO TABLET/SMART PHONE APP TO ALLOW COMPLETE CONTROL AND SETUP OF UNIT WITH A 15-FOOT PROXIMITY</t>
  </si>
  <si>
    <t>11. BOILER STAGING POINT NOT TO EXCEED 40%</t>
  </si>
  <si>
    <t>12. BOILER MANUFACTURER TO PROVIDE AND CONTROL, FIELD INSTALLED, MODULATING MOTORIZED VALVES ON EACH BOILER</t>
  </si>
  <si>
    <t>13. PROVIDE CHECK VALVE FOR EACH INLET CONNECTION</t>
  </si>
  <si>
    <t>14. THE BOILER MUST HAVE A FACTORY INSTALLED DUAL RETURN SYSTEM TO INCREASE THE PLANT EFFICIENCY</t>
  </si>
  <si>
    <t>15. BOILER MANUFACTURE TO PROVIDE 15- YEAR NON-PRORATED HEAT EXCHANGER WARRANTY</t>
  </si>
  <si>
    <t xml:space="preserve">16. BOILER MANUFACTURE TO PROVIDE ONBOARD TOUCH SCREEN WITH BUTTON BACK-UP </t>
  </si>
  <si>
    <t>17. BOILER MANUFACTURE TO PROVIDE 5- YEAR NON-PRORATED BURNER WARRANTY</t>
  </si>
  <si>
    <t>18. BOILER MANUFACTURE TO PROVIDE 3- YEAR NON-PRORATED CONTROLLER WARRANTY</t>
  </si>
  <si>
    <t>19. BOILER MANUFACTURE TO PROVIDE LETTER OF GUARANTEE FOR AS BUILT FLUE AND COMBUSTION AIR INSTALLATION</t>
  </si>
  <si>
    <t>20. BOILER MANUFACTURE TO MODULATE PRIMARY PUMP TO MAINTAIN OPTIMIZE BOILER EFFICIENCY</t>
  </si>
  <si>
    <t>21. PROVIDE CONDENSATE NEUTRALIZER FOR EACH BOILER AND COMMON FLUE DRAINS</t>
  </si>
  <si>
    <t xml:space="preserve">22. THE BOILERS SHALL HAVE AN O2 TRIM SYSTEM WITH ACTIVE DEW-POINT CONTROL FACTORY INSTALLED. </t>
  </si>
  <si>
    <t>23. BOILER MANUFACTURE CONROLLER LOGIC TO INCLUDE SWITCHING FROM MANAGER  BOILER TO A BACKUP MANAGER BOILER AUTOMATICALLY.</t>
  </si>
  <si>
    <t>24. BOILER MANUFACTURE TO PROVIDE INTEGRATED FLOW BALANCING BETWEEN BOILERS INSTALLED IN THE BOILER PLANT</t>
  </si>
  <si>
    <t xml:space="preserve">25. BOILER MANUFACTURE TO PROVIDE INTEGRATED O2 SENSOR AND LOGIC TO AUTOMATICALLY COMBUSTION CALIBRATE POINTS IN CONTROLLER WITH START-UP TECHNICIAN APPROVAL </t>
  </si>
  <si>
    <t>26. ALTERNATE MANUFACTURES MUST COMPLY WITH ALL BASIS OF DESIGN PERFORMANCE, SAFETY, DURABILITY WARRANTY AND SYSTEM DESIGN REQUIREMENTS</t>
  </si>
  <si>
    <t>5. CONTROLLER SHALL DISPLAY AN ALERT WHEN O2 LEVEL IS ABOVE OR BELOW CRITICAL VALUES.</t>
  </si>
  <si>
    <t>4. BOILER SHALL UTILIZIE NON-METALLIC VENT</t>
  </si>
  <si>
    <t>23
12</t>
  </si>
  <si>
    <t>11
11</t>
  </si>
  <si>
    <t>9. BOILER SHALL BE EQUIPPED WITH COMBUSTION AIR TEMPERATURE COMPENSATION TO AUTOMATICALLY COMPENSATE FOR AIR DENSITY CHANGES BY ADJUSTING OXYGEN AND OPTIMIZE THE COMBUSTION EFFICIENCY UNDER ALL SEASONAL TEMPERATURE CHANGES.</t>
  </si>
  <si>
    <t>MLX EXT 450 2S</t>
  </si>
  <si>
    <t>MLX EXT 600 2S</t>
  </si>
  <si>
    <t>MLX EXT 800 2S</t>
  </si>
  <si>
    <t>MLX EXT 1100 2S</t>
  </si>
  <si>
    <t>MLX EXT 1500 2S</t>
  </si>
  <si>
    <t>MLX EXT 2300 2S</t>
  </si>
  <si>
    <t>MLX EXT 2600 2S</t>
  </si>
  <si>
    <t>MLX EXT 3000 2S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</si>
</sst>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quot;PSI&quot;\ "/>
  </numFmts>
  <fonts count="35">
    <font>
      <sz val="12"/>
      <color theme="1"/>
      <name val="Calibri"/>
      <family val="2"/>
      <scheme val="minor"/>
    </font>
    <font>
      <sz val="8"/>
      <color theme="1"/>
      <name val="Arial Narrow"/>
      <family val="2"/>
    </font>
    <font>
      <u/>
      <sz val="8"/>
      <color theme="1"/>
      <name val="Arial Narrow"/>
      <family val="2"/>
    </font>
    <font>
      <u/>
      <sz val="8"/>
      <color theme="1"/>
      <name val="Calibri"/>
      <family val="2"/>
      <scheme val="minor"/>
    </font>
    <font>
      <sz val="8"/>
      <color theme="1"/>
      <name val="Calibri"/>
      <family val="2"/>
      <scheme val="minor"/>
    </font>
    <font>
      <sz val="12"/>
      <color theme="0"/>
      <name val="Arial Narrow"/>
      <family val="2"/>
    </font>
    <font>
      <sz val="8"/>
      <color rgb="FFFF0000"/>
      <name val="Arial Narrow"/>
      <family val="2"/>
    </font>
    <font>
      <sz val="12"/>
      <color theme="0"/>
      <name val="Calibri"/>
      <family val="2"/>
      <scheme val="minor"/>
    </font>
    <font>
      <sz val="12"/>
      <color rgb="FFFF0000"/>
      <name val="Calibri (Body)"/>
    </font>
    <font>
      <b/>
      <sz val="18"/>
      <color theme="0"/>
      <name val="Calibri"/>
      <family val="2"/>
      <scheme val="minor"/>
    </font>
    <font>
      <sz val="6"/>
      <color theme="1"/>
      <name val="Calibri"/>
      <family val="2"/>
      <scheme val="minor"/>
    </font>
    <font>
      <u/>
      <sz val="12"/>
      <color theme="10"/>
      <name val="Calibri"/>
      <family val="2"/>
      <scheme val="minor"/>
    </font>
    <font>
      <u/>
      <sz val="12"/>
      <color theme="11"/>
      <name val="Calibri"/>
      <family val="2"/>
      <scheme val="minor"/>
    </font>
    <font>
      <sz val="8"/>
      <color rgb="FF000000"/>
      <name val="Arial Narrow"/>
      <family val="2"/>
    </font>
    <font>
      <sz val="14"/>
      <color theme="1"/>
      <name val="Calibri"/>
      <family val="2"/>
      <scheme val="minor"/>
    </font>
    <font>
      <b/>
      <i/>
      <sz val="12"/>
      <color theme="0"/>
      <name val="Calibri (Body)"/>
    </font>
    <font>
      <sz val="12"/>
      <color rgb="FFFF0000"/>
      <name val="Calibri"/>
      <family val="2"/>
      <scheme val="minor"/>
    </font>
    <font>
      <b/>
      <sz val="12"/>
      <color theme="1"/>
      <name val="Calibri"/>
      <family val="2"/>
      <scheme val="minor"/>
    </font>
    <font>
      <b/>
      <u/>
      <sz val="12"/>
      <color theme="0"/>
      <name val="Calibri"/>
      <family val="2"/>
      <scheme val="minor"/>
    </font>
    <font>
      <b/>
      <u/>
      <sz val="12"/>
      <color theme="1"/>
      <name val="Calibri (Body)"/>
    </font>
    <font>
      <i/>
      <u/>
      <sz val="12"/>
      <color theme="1"/>
      <name val="Calibri"/>
      <family val="2"/>
      <scheme val="minor"/>
    </font>
    <font>
      <b/>
      <i/>
      <sz val="12"/>
      <color theme="1"/>
      <name val="Calibri (Body)"/>
    </font>
    <font>
      <b/>
      <i/>
      <sz val="12"/>
      <color theme="1"/>
      <name val="Calibri"/>
      <family val="2"/>
      <scheme val="minor"/>
    </font>
    <font>
      <sz val="12"/>
      <color theme="1"/>
      <name val="Calibri (Body)"/>
    </font>
    <font>
      <b/>
      <u/>
      <sz val="12"/>
      <color theme="1"/>
      <name val="Calibri"/>
      <family val="2"/>
      <scheme val="minor"/>
    </font>
    <font>
      <sz val="10"/>
      <color theme="1"/>
      <name val="Arial Narrow"/>
      <family val="2"/>
    </font>
    <font>
      <b/>
      <sz val="12"/>
      <color rgb="FF3279C7"/>
      <name val="Calibri"/>
      <family val="2"/>
      <scheme val="minor"/>
    </font>
    <font>
      <sz val="12"/>
      <color rgb="FF377AC2"/>
      <name val="Calibri (Body)"/>
    </font>
    <font>
      <sz val="12"/>
      <color rgb="FF3279C7"/>
      <name val="Calibri (Body)"/>
    </font>
    <font>
      <sz val="8"/>
      <color rgb="FF000000"/>
      <name val="Calibri"/>
      <family val="2"/>
      <scheme val="minor"/>
    </font>
    <font>
      <sz val="8"/>
      <name val="Calibri"/>
      <family val="2"/>
      <scheme val="minor"/>
    </font>
    <font>
      <sz val="8"/>
      <name val="Arial Narrow"/>
      <family val="2"/>
    </font>
    <font>
      <sz val="12"/>
      <color theme="9" tint="0.59996337778862885"/>
      <name val="Calibri"/>
      <family val="2"/>
      <scheme val="minor"/>
    </font>
    <font>
      <sz val="12"/>
      <color theme="9" tint="0.59999389629810485"/>
      <name val="Calibri"/>
      <family val="2"/>
      <scheme val="minor"/>
    </font>
    <font>
      <b/>
      <sz val="12"/>
      <color rgb="FFFF0000"/>
      <name val="Calibri (Body)"/>
    </font>
  </fonts>
  <fills count="10">
    <fill>
      <patternFill patternType="none"/>
    </fill>
    <fill>
      <patternFill patternType="gray125"/>
    </fill>
    <fill>
      <patternFill patternType="solid">
        <fgColor theme="4"/>
        <bgColor indexed="64"/>
      </patternFill>
    </fill>
    <fill>
      <patternFill patternType="solid">
        <fgColor theme="9"/>
        <bgColor indexed="64"/>
      </patternFill>
    </fill>
    <fill>
      <patternFill patternType="solid">
        <fgColor rgb="FF377AC2"/>
        <bgColor indexed="64"/>
      </patternFill>
    </fill>
    <fill>
      <patternFill patternType="solid">
        <fgColor rgb="FF3279C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000"/>
        <bgColor indexed="64"/>
      </patternFill>
    </fill>
  </fills>
  <borders count="4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style="medium">
        <color auto="1"/>
      </right>
      <top/>
      <bottom style="medium">
        <color auto="1"/>
      </bottom>
      <diagonal/>
    </border>
    <border>
      <left style="medium">
        <color auto="1"/>
      </left>
      <right style="medium">
        <color auto="1"/>
      </right>
      <top style="medium">
        <color auto="1"/>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style="medium">
        <color auto="1"/>
      </left>
      <right style="medium">
        <color auto="1"/>
      </right>
      <top/>
      <bottom style="medium">
        <color auto="1"/>
      </bottom>
      <diagonal/>
    </border>
    <border>
      <left style="thick">
        <color rgb="FF377AC2"/>
      </left>
      <right/>
      <top style="thick">
        <color rgb="FF377AC2"/>
      </top>
      <bottom/>
      <diagonal/>
    </border>
    <border>
      <left/>
      <right/>
      <top style="thick">
        <color rgb="FF377AC2"/>
      </top>
      <bottom/>
      <diagonal/>
    </border>
    <border>
      <left/>
      <right style="thick">
        <color rgb="FF377AC2"/>
      </right>
      <top style="thick">
        <color rgb="FF377AC2"/>
      </top>
      <bottom/>
      <diagonal/>
    </border>
    <border>
      <left style="thick">
        <color rgb="FF377AC2"/>
      </left>
      <right/>
      <top/>
      <bottom/>
      <diagonal/>
    </border>
    <border>
      <left/>
      <right style="thick">
        <color rgb="FF377AC2"/>
      </right>
      <top/>
      <bottom/>
      <diagonal/>
    </border>
    <border>
      <left style="thick">
        <color rgb="FF377AC2"/>
      </left>
      <right/>
      <top/>
      <bottom style="thick">
        <color rgb="FF377AC2"/>
      </bottom>
      <diagonal/>
    </border>
    <border>
      <left/>
      <right/>
      <top/>
      <bottom style="thick">
        <color rgb="FF377AC2"/>
      </bottom>
      <diagonal/>
    </border>
    <border>
      <left style="medium">
        <color rgb="FF3279C7"/>
      </left>
      <right/>
      <top style="medium">
        <color rgb="FF3279C7"/>
      </top>
      <bottom style="medium">
        <color rgb="FF3279C7"/>
      </bottom>
      <diagonal/>
    </border>
    <border>
      <left style="medium">
        <color rgb="FF377AC2"/>
      </left>
      <right/>
      <top style="medium">
        <color rgb="FF3279C7"/>
      </top>
      <bottom style="medium">
        <color rgb="FF3279C7"/>
      </bottom>
      <diagonal/>
    </border>
    <border>
      <left/>
      <right/>
      <top style="medium">
        <color rgb="FF3279C7"/>
      </top>
      <bottom style="medium">
        <color rgb="FF3279C7"/>
      </bottom>
      <diagonal/>
    </border>
    <border>
      <left/>
      <right style="medium">
        <color rgb="FF3279C7"/>
      </right>
      <top style="medium">
        <color rgb="FF3279C7"/>
      </top>
      <bottom style="medium">
        <color rgb="FF3279C7"/>
      </bottom>
      <diagonal/>
    </border>
    <border>
      <left/>
      <right/>
      <top style="medium">
        <color rgb="FF3279C7"/>
      </top>
      <bottom style="thick">
        <color theme="8"/>
      </bottom>
      <diagonal/>
    </border>
    <border>
      <left/>
      <right style="medium">
        <color rgb="FF3279C7"/>
      </right>
      <top style="medium">
        <color rgb="FF3279C7"/>
      </top>
      <bottom style="thick">
        <color theme="8"/>
      </bottom>
      <diagonal/>
    </border>
    <border>
      <left style="medium">
        <color rgb="FF3279C7"/>
      </left>
      <right/>
      <top/>
      <bottom/>
      <diagonal/>
    </border>
    <border>
      <left/>
      <right style="medium">
        <color rgb="FF3279C7"/>
      </right>
      <top/>
      <bottom/>
      <diagonal/>
    </border>
    <border>
      <left style="medium">
        <color rgb="FF3279C7"/>
      </left>
      <right/>
      <top/>
      <bottom style="medium">
        <color rgb="FF3279C7"/>
      </bottom>
      <diagonal/>
    </border>
    <border>
      <left/>
      <right/>
      <top/>
      <bottom style="medium">
        <color rgb="FF3279C7"/>
      </bottom>
      <diagonal/>
    </border>
    <border>
      <left/>
      <right style="medium">
        <color rgb="FF3279C7"/>
      </right>
      <top/>
      <bottom style="medium">
        <color rgb="FF3279C7"/>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ck">
        <color rgb="FF3279C7"/>
      </right>
      <top/>
      <bottom style="thick">
        <color rgb="FF3279C7"/>
      </bottom>
      <diagonal/>
    </border>
    <border>
      <left/>
      <right/>
      <top/>
      <bottom style="thick">
        <color rgb="FF3279C7"/>
      </bottom>
      <diagonal/>
    </border>
    <border>
      <left style="thin">
        <color indexed="64"/>
      </left>
      <right style="thin">
        <color indexed="64"/>
      </right>
      <top/>
      <bottom/>
      <diagonal/>
    </border>
  </borders>
  <cellStyleXfs count="17">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273">
    <xf numFmtId="0" fontId="0" fillId="0" borderId="0" xfId="0"/>
    <xf numFmtId="0" fontId="1" fillId="0" borderId="5" xfId="0" applyFont="1" applyBorder="1" applyAlignment="1">
      <alignment horizontal="center" vertical="center" wrapText="1"/>
    </xf>
    <xf numFmtId="0" fontId="5" fillId="2" borderId="0" xfId="0" applyFont="1" applyFill="1" applyAlignment="1">
      <alignment horizontal="center" vertical="center"/>
    </xf>
    <xf numFmtId="0" fontId="5" fillId="3" borderId="0" xfId="0" applyFont="1" applyFill="1" applyAlignment="1">
      <alignment horizontal="center" vertical="center"/>
    </xf>
    <xf numFmtId="0" fontId="4" fillId="0" borderId="0" xfId="0" applyFont="1" applyBorder="1" applyAlignment="1">
      <alignment horizontal="left" vertical="center" wrapText="1" indent="1"/>
    </xf>
    <xf numFmtId="0" fontId="10" fillId="0" borderId="0" xfId="0" applyFont="1" applyAlignment="1">
      <alignment wrapText="1"/>
    </xf>
    <xf numFmtId="49" fontId="4" fillId="0" borderId="0" xfId="0" applyNumberFormat="1" applyFont="1" applyAlignment="1">
      <alignment horizontal="left" vertical="center"/>
    </xf>
    <xf numFmtId="0" fontId="0" fillId="0" borderId="7" xfId="0" applyBorder="1" applyProtection="1">
      <protection locked="0"/>
    </xf>
    <xf numFmtId="0" fontId="1" fillId="0" borderId="7"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6" fillId="0" borderId="0" xfId="0" applyFont="1" applyBorder="1" applyAlignment="1">
      <alignment horizontal="center" vertical="top" wrapText="1"/>
    </xf>
    <xf numFmtId="0" fontId="1" fillId="0" borderId="0" xfId="0" applyFont="1" applyBorder="1" applyAlignment="1">
      <alignment horizontal="center" vertical="top" wrapText="1"/>
    </xf>
    <xf numFmtId="0" fontId="1" fillId="0" borderId="0" xfId="0" applyFont="1" applyFill="1" applyBorder="1" applyAlignment="1">
      <alignment horizontal="center" vertical="top" wrapText="1"/>
    </xf>
    <xf numFmtId="49" fontId="1" fillId="0" borderId="0" xfId="0" applyNumberFormat="1" applyFont="1" applyBorder="1" applyAlignment="1">
      <alignment horizontal="center" vertical="top" wrapText="1"/>
    </xf>
    <xf numFmtId="164" fontId="1" fillId="0" borderId="0" xfId="0" applyNumberFormat="1" applyFont="1" applyFill="1" applyBorder="1" applyAlignment="1">
      <alignment horizontal="center" vertical="top" wrapText="1"/>
    </xf>
    <xf numFmtId="49" fontId="4" fillId="0" borderId="0" xfId="0" applyNumberFormat="1" applyFont="1" applyBorder="1" applyAlignment="1">
      <alignment horizontal="left" vertical="center" wrapText="1" indent="1"/>
    </xf>
    <xf numFmtId="0" fontId="5" fillId="0" borderId="0" xfId="0" applyFont="1" applyFill="1" applyAlignment="1">
      <alignment horizontal="center" vertical="center"/>
    </xf>
    <xf numFmtId="0" fontId="0" fillId="0" borderId="0" xfId="0" applyProtection="1"/>
    <xf numFmtId="0" fontId="7" fillId="0" borderId="0" xfId="0" applyFont="1" applyFill="1" applyAlignment="1" applyProtection="1"/>
    <xf numFmtId="0" fontId="18" fillId="0" borderId="0" xfId="0" applyFont="1" applyFill="1" applyAlignment="1" applyProtection="1"/>
    <xf numFmtId="0" fontId="7" fillId="0" borderId="0" xfId="0" applyFont="1" applyFill="1" applyProtection="1"/>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vertical="top" wrapText="1"/>
    </xf>
    <xf numFmtId="0" fontId="0" fillId="0" borderId="0" xfId="0" applyBorder="1" applyAlignment="1" applyProtection="1"/>
    <xf numFmtId="0" fontId="0" fillId="0" borderId="0" xfId="0" applyBorder="1" applyAlignment="1" applyProtection="1">
      <alignment horizontal="left" vertical="top" indent="1"/>
    </xf>
    <xf numFmtId="0" fontId="0" fillId="0" borderId="0" xfId="0" applyFont="1" applyFill="1" applyBorder="1" applyAlignment="1" applyProtection="1">
      <alignment horizontal="left" vertical="center"/>
    </xf>
    <xf numFmtId="0" fontId="24" fillId="0" borderId="0" xfId="0" applyFont="1" applyFill="1" applyBorder="1" applyAlignment="1" applyProtection="1">
      <alignment horizontal="left" vertical="top"/>
    </xf>
    <xf numFmtId="0" fontId="24" fillId="0" borderId="0" xfId="0" applyFont="1" applyFill="1" applyBorder="1" applyAlignment="1" applyProtection="1"/>
    <xf numFmtId="0" fontId="7" fillId="0" borderId="0" xfId="0" applyFont="1" applyFill="1" applyBorder="1" applyAlignment="1" applyProtection="1"/>
    <xf numFmtId="0" fontId="4" fillId="0" borderId="0" xfId="0" applyFont="1" applyBorder="1" applyAlignment="1" applyProtection="1">
      <alignment horizontal="left" vertical="center" indent="1"/>
    </xf>
    <xf numFmtId="0" fontId="0" fillId="0" borderId="0" xfId="0" applyBorder="1" applyAlignment="1" applyProtection="1">
      <alignment horizontal="left" vertical="center" indent="1"/>
    </xf>
    <xf numFmtId="0" fontId="4" fillId="0" borderId="0" xfId="0" applyNumberFormat="1" applyFont="1" applyBorder="1" applyAlignment="1" applyProtection="1">
      <alignment horizontal="left" vertical="top" indent="1"/>
    </xf>
    <xf numFmtId="0" fontId="0" fillId="0" borderId="0" xfId="0" applyFont="1" applyFill="1" applyBorder="1" applyAlignment="1" applyProtection="1">
      <alignment horizontal="left" vertical="top"/>
    </xf>
    <xf numFmtId="0" fontId="0" fillId="0" borderId="0" xfId="0" applyFont="1" applyFill="1" applyBorder="1" applyAlignment="1" applyProtection="1"/>
    <xf numFmtId="0" fontId="0" fillId="0" borderId="0" xfId="0" applyBorder="1" applyProtection="1"/>
    <xf numFmtId="0" fontId="14" fillId="0" borderId="0" xfId="0" applyFont="1" applyBorder="1" applyAlignment="1" applyProtection="1">
      <alignment horizontal="center" vertical="center"/>
    </xf>
    <xf numFmtId="0" fontId="18" fillId="0" borderId="0" xfId="0" applyFont="1" applyFill="1" applyBorder="1" applyAlignment="1" applyProtection="1"/>
    <xf numFmtId="0" fontId="7" fillId="0" borderId="0" xfId="0" applyFont="1" applyFill="1" applyBorder="1" applyAlignment="1" applyProtection="1">
      <alignment horizontal="left" vertical="top"/>
    </xf>
    <xf numFmtId="0" fontId="0" fillId="0" borderId="18" xfId="0" applyBorder="1" applyProtection="1"/>
    <xf numFmtId="0" fontId="0" fillId="0" borderId="19" xfId="0" applyBorder="1" applyProtection="1"/>
    <xf numFmtId="0" fontId="0" fillId="0" borderId="19" xfId="0" applyBorder="1" applyAlignment="1" applyProtection="1"/>
    <xf numFmtId="0" fontId="7" fillId="0" borderId="19" xfId="0" applyFont="1" applyFill="1" applyBorder="1" applyAlignment="1" applyProtection="1"/>
    <xf numFmtId="0" fontId="18" fillId="0" borderId="19" xfId="0" applyFont="1" applyFill="1" applyBorder="1" applyAlignment="1" applyProtection="1"/>
    <xf numFmtId="0" fontId="0" fillId="0" borderId="20" xfId="0" applyBorder="1" applyProtection="1"/>
    <xf numFmtId="0" fontId="0" fillId="0" borderId="21" xfId="0" applyFont="1" applyFill="1" applyBorder="1" applyAlignment="1" applyProtection="1">
      <alignment horizontal="left" vertical="center"/>
    </xf>
    <xf numFmtId="0" fontId="0" fillId="0" borderId="21" xfId="0" applyBorder="1" applyProtection="1"/>
    <xf numFmtId="0" fontId="0" fillId="0" borderId="21" xfId="0" applyFont="1" applyFill="1" applyBorder="1" applyAlignment="1" applyProtection="1"/>
    <xf numFmtId="0" fontId="7" fillId="0" borderId="21" xfId="0" applyFont="1" applyFill="1" applyBorder="1" applyAlignment="1" applyProtection="1"/>
    <xf numFmtId="0" fontId="9" fillId="4" borderId="15" xfId="0" applyFont="1" applyFill="1" applyBorder="1" applyAlignment="1" applyProtection="1">
      <alignment horizontal="center" vertical="center"/>
    </xf>
    <xf numFmtId="0" fontId="0" fillId="0" borderId="0" xfId="0" applyAlignment="1">
      <alignment horizontal="center"/>
    </xf>
    <xf numFmtId="0" fontId="0" fillId="4" borderId="16" xfId="0" applyFill="1" applyBorder="1" applyAlignment="1" applyProtection="1"/>
    <xf numFmtId="0" fontId="4" fillId="0" borderId="0" xfId="0" applyFont="1"/>
    <xf numFmtId="0" fontId="29" fillId="0" borderId="0" xfId="0" applyFont="1"/>
    <xf numFmtId="0" fontId="1" fillId="0" borderId="4" xfId="0" applyFont="1" applyBorder="1" applyAlignment="1" applyProtection="1">
      <alignment horizontal="center" vertical="top" wrapText="1"/>
      <protection locked="0"/>
    </xf>
    <xf numFmtId="0" fontId="4" fillId="0" borderId="0" xfId="0" applyFont="1" applyBorder="1" applyAlignment="1" applyProtection="1">
      <alignment horizontal="left" vertical="top" indent="1"/>
    </xf>
    <xf numFmtId="0" fontId="4" fillId="0" borderId="0" xfId="0" applyFont="1" applyBorder="1" applyAlignment="1" applyProtection="1">
      <alignment vertical="top"/>
    </xf>
    <xf numFmtId="0" fontId="4" fillId="0" borderId="0" xfId="0" applyFont="1" applyBorder="1" applyAlignment="1" applyProtection="1">
      <alignment vertical="top" wrapText="1"/>
    </xf>
    <xf numFmtId="0" fontId="4" fillId="0" borderId="0" xfId="0" applyFont="1" applyBorder="1" applyAlignment="1" applyProtection="1"/>
    <xf numFmtId="0" fontId="29" fillId="0" borderId="0" xfId="0" applyFont="1" applyBorder="1" applyAlignment="1" applyProtection="1">
      <alignment vertical="top" wrapText="1"/>
    </xf>
    <xf numFmtId="0" fontId="1" fillId="0" borderId="7" xfId="0" applyFont="1" applyBorder="1" applyAlignment="1" applyProtection="1">
      <alignment horizontal="center" vertical="top" wrapText="1"/>
      <protection locked="0"/>
    </xf>
    <xf numFmtId="0" fontId="6" fillId="0" borderId="7" xfId="0" quotePrefix="1"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0" fillId="0" borderId="0" xfId="0" applyFont="1" applyFill="1" applyBorder="1" applyAlignment="1" applyProtection="1">
      <alignment horizontal="left" vertical="top"/>
    </xf>
    <xf numFmtId="0" fontId="0" fillId="0" borderId="0" xfId="0" applyFont="1" applyFill="1" applyBorder="1" applyAlignment="1" applyProtection="1"/>
    <xf numFmtId="0" fontId="0" fillId="0" borderId="2" xfId="0"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0" fillId="0" borderId="0" xfId="0" applyBorder="1" applyAlignment="1" applyProtection="1">
      <alignment horizontal="left" vertical="top"/>
    </xf>
    <xf numFmtId="0" fontId="26" fillId="0" borderId="0" xfId="0" applyFont="1" applyFill="1" applyBorder="1" applyAlignment="1" applyProtection="1">
      <alignment horizontal="left" vertical="top"/>
    </xf>
    <xf numFmtId="0" fontId="4" fillId="0" borderId="5"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29" fillId="0" borderId="12" xfId="0" applyFont="1" applyBorder="1" applyAlignment="1" applyProtection="1">
      <alignment vertical="top" wrapText="1"/>
      <protection locked="0"/>
    </xf>
    <xf numFmtId="0" fontId="1" fillId="0" borderId="5" xfId="0" applyFont="1" applyBorder="1" applyAlignment="1" applyProtection="1">
      <alignment horizontal="center" vertical="top" wrapText="1"/>
      <protection locked="0"/>
    </xf>
    <xf numFmtId="0" fontId="0" fillId="0" borderId="7" xfId="0" applyBorder="1" applyProtection="1"/>
    <xf numFmtId="0" fontId="1" fillId="0" borderId="14" xfId="0" applyFont="1" applyBorder="1" applyAlignment="1" applyProtection="1">
      <alignment horizontal="center" vertical="top" wrapText="1"/>
      <protection locked="0"/>
    </xf>
    <xf numFmtId="0" fontId="1" fillId="0" borderId="13"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9" fillId="5" borderId="22" xfId="0" applyFont="1" applyFill="1" applyBorder="1" applyAlignment="1" applyProtection="1">
      <alignment horizontal="center" vertical="center"/>
    </xf>
    <xf numFmtId="0" fontId="0" fillId="5" borderId="23" xfId="0" applyFill="1" applyBorder="1" applyAlignment="1" applyProtection="1"/>
    <xf numFmtId="0" fontId="0" fillId="5" borderId="24" xfId="0" applyFill="1" applyBorder="1" applyAlignment="1" applyProtection="1"/>
    <xf numFmtId="0" fontId="0" fillId="5" borderId="25" xfId="0" applyFill="1" applyBorder="1" applyAlignment="1" applyProtection="1"/>
    <xf numFmtId="0" fontId="0" fillId="5" borderId="26" xfId="0" applyFill="1" applyBorder="1" applyAlignment="1" applyProtection="1"/>
    <xf numFmtId="0" fontId="0" fillId="5" borderId="26" xfId="0" applyFill="1" applyBorder="1" applyAlignment="1" applyProtection="1">
      <alignment vertical="center"/>
    </xf>
    <xf numFmtId="0" fontId="7" fillId="5" borderId="27" xfId="0" applyFont="1" applyFill="1" applyBorder="1" applyAlignment="1" applyProtection="1">
      <alignment vertical="center"/>
    </xf>
    <xf numFmtId="0" fontId="0" fillId="0" borderId="28" xfId="0" applyBorder="1" applyProtection="1"/>
    <xf numFmtId="0" fontId="0" fillId="0" borderId="29" xfId="0" applyBorder="1" applyProtection="1"/>
    <xf numFmtId="0" fontId="0" fillId="0" borderId="30" xfId="0" applyBorder="1" applyAlignment="1" applyProtection="1"/>
    <xf numFmtId="0" fontId="0" fillId="0" borderId="31" xfId="0" applyBorder="1" applyAlignment="1" applyProtection="1"/>
    <xf numFmtId="0" fontId="0" fillId="0" borderId="31" xfId="0" applyFont="1" applyFill="1" applyBorder="1" applyAlignment="1" applyProtection="1">
      <alignment horizontal="left" vertical="center"/>
    </xf>
    <xf numFmtId="0" fontId="0" fillId="0" borderId="31" xfId="0" applyFont="1" applyFill="1" applyBorder="1" applyAlignment="1" applyProtection="1"/>
    <xf numFmtId="0" fontId="7" fillId="0" borderId="31" xfId="0" applyFont="1" applyFill="1" applyBorder="1" applyAlignment="1" applyProtection="1"/>
    <xf numFmtId="0" fontId="7" fillId="5" borderId="26" xfId="0" applyFont="1" applyFill="1" applyBorder="1" applyAlignment="1" applyProtection="1">
      <alignment vertical="center"/>
    </xf>
    <xf numFmtId="0" fontId="0" fillId="0" borderId="32" xfId="0" applyBorder="1" applyAlignment="1" applyProtection="1"/>
    <xf numFmtId="0" fontId="0" fillId="0" borderId="0" xfId="0" applyFont="1" applyFill="1" applyBorder="1" applyAlignment="1" applyProtection="1">
      <alignment horizontal="left" vertical="top"/>
    </xf>
    <xf numFmtId="0" fontId="0" fillId="0" borderId="0" xfId="0" applyFont="1" applyFill="1" applyBorder="1" applyAlignment="1" applyProtection="1"/>
    <xf numFmtId="0" fontId="0" fillId="0" borderId="0" xfId="0" applyBorder="1" applyAlignment="1" applyProtection="1">
      <alignment horizontal="left" vertical="top"/>
    </xf>
    <xf numFmtId="0" fontId="0" fillId="0" borderId="0" xfId="0" applyBorder="1" applyAlignment="1" applyProtection="1"/>
    <xf numFmtId="0" fontId="0" fillId="0" borderId="2" xfId="0"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6" fillId="0" borderId="0" xfId="0" applyFont="1" applyFill="1" applyBorder="1" applyAlignment="1" applyProtection="1">
      <alignment horizontal="left" vertical="top"/>
    </xf>
    <xf numFmtId="0" fontId="0" fillId="0" borderId="33" xfId="0" applyBorder="1"/>
    <xf numFmtId="0" fontId="1" fillId="0" borderId="33" xfId="0" applyFont="1" applyBorder="1" applyAlignment="1">
      <alignment horizontal="center" vertical="top" wrapText="1"/>
    </xf>
    <xf numFmtId="0" fontId="1" fillId="0" borderId="33" xfId="0" applyFont="1" applyBorder="1" applyAlignment="1" applyProtection="1">
      <alignment horizontal="center" vertical="top" wrapText="1"/>
      <protection locked="0"/>
    </xf>
    <xf numFmtId="0" fontId="6" fillId="0" borderId="33" xfId="0" applyFont="1" applyBorder="1" applyAlignment="1">
      <alignment horizontal="center" vertical="top" wrapText="1"/>
    </xf>
    <xf numFmtId="0" fontId="1" fillId="0" borderId="33" xfId="0" quotePrefix="1" applyFont="1" applyBorder="1" applyAlignment="1">
      <alignment horizontal="center" vertical="top" wrapText="1"/>
    </xf>
    <xf numFmtId="0" fontId="13" fillId="0" borderId="33" xfId="0" applyFont="1" applyBorder="1" applyAlignment="1">
      <alignment horizontal="center" vertical="top" wrapText="1"/>
    </xf>
    <xf numFmtId="0" fontId="6" fillId="0" borderId="33" xfId="0" quotePrefix="1" applyFont="1" applyBorder="1" applyAlignment="1">
      <alignment horizontal="center" vertical="top" wrapText="1"/>
    </xf>
    <xf numFmtId="49" fontId="1" fillId="0" borderId="33" xfId="0" applyNumberFormat="1" applyFont="1" applyBorder="1" applyAlignment="1">
      <alignment horizontal="center" vertical="top" wrapText="1"/>
    </xf>
    <xf numFmtId="164" fontId="1" fillId="0" borderId="33" xfId="0" applyNumberFormat="1" applyFont="1" applyBorder="1" applyAlignment="1">
      <alignment horizontal="center" vertical="top" wrapText="1"/>
    </xf>
    <xf numFmtId="164" fontId="6" fillId="0" borderId="33" xfId="0" applyNumberFormat="1" applyFont="1" applyBorder="1" applyAlignment="1">
      <alignment horizontal="center" vertical="top" wrapText="1"/>
    </xf>
    <xf numFmtId="0" fontId="1" fillId="0" borderId="33" xfId="0" applyFont="1" applyFill="1" applyBorder="1" applyAlignment="1">
      <alignment horizontal="center" vertical="top" wrapText="1"/>
    </xf>
    <xf numFmtId="164" fontId="1" fillId="0" borderId="33" xfId="0" applyNumberFormat="1" applyFont="1" applyFill="1" applyBorder="1" applyAlignment="1">
      <alignment horizontal="center" vertical="top" wrapText="1"/>
    </xf>
    <xf numFmtId="49" fontId="1" fillId="0" borderId="33" xfId="0" quotePrefix="1" applyNumberFormat="1" applyFont="1" applyBorder="1" applyAlignment="1">
      <alignment horizontal="center" vertical="top" wrapText="1"/>
    </xf>
    <xf numFmtId="0" fontId="10" fillId="0" borderId="33" xfId="0" applyFont="1" applyBorder="1" applyAlignment="1">
      <alignment wrapText="1"/>
    </xf>
    <xf numFmtId="0" fontId="5" fillId="2" borderId="33" xfId="0" applyFont="1" applyFill="1" applyBorder="1" applyAlignment="1">
      <alignment horizontal="center" vertical="center"/>
    </xf>
    <xf numFmtId="0" fontId="5" fillId="3" borderId="33" xfId="0" applyFont="1" applyFill="1" applyBorder="1" applyAlignment="1">
      <alignment horizontal="center" vertical="center"/>
    </xf>
    <xf numFmtId="0" fontId="0" fillId="0" borderId="0" xfId="0" applyFont="1" applyFill="1" applyBorder="1" applyAlignment="1" applyProtection="1">
      <alignment horizontal="left" vertical="top"/>
    </xf>
    <xf numFmtId="0" fontId="0" fillId="0" borderId="0" xfId="0" applyFont="1" applyFill="1" applyBorder="1" applyAlignment="1" applyProtection="1"/>
    <xf numFmtId="0" fontId="0" fillId="0" borderId="19" xfId="0"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9" xfId="0" applyFont="1" applyBorder="1" applyAlignment="1" applyProtection="1">
      <alignment horizontal="center" vertical="top" wrapText="1"/>
    </xf>
    <xf numFmtId="0" fontId="0" fillId="0" borderId="19" xfId="0" applyBorder="1" applyAlignment="1" applyProtection="1">
      <alignment horizontal="left" vertical="top" indent="1"/>
    </xf>
    <xf numFmtId="0" fontId="2" fillId="0" borderId="10" xfId="0" applyFont="1" applyBorder="1" applyAlignment="1" applyProtection="1">
      <alignment horizontal="left" vertical="center" wrapText="1" indent="1"/>
      <protection locked="0"/>
    </xf>
    <xf numFmtId="0" fontId="3" fillId="0" borderId="0" xfId="0" applyFont="1" applyBorder="1" applyAlignment="1" applyProtection="1">
      <alignment horizontal="left" vertical="center" wrapText="1" indent="1"/>
      <protection locked="0"/>
    </xf>
    <xf numFmtId="165" fontId="6" fillId="0" borderId="7" xfId="0" quotePrefix="1" applyNumberFormat="1" applyFont="1" applyBorder="1" applyAlignment="1" applyProtection="1">
      <alignment horizontal="center" vertical="top" wrapText="1"/>
      <protection locked="0"/>
    </xf>
    <xf numFmtId="165" fontId="16" fillId="6" borderId="0" xfId="0" applyNumberFormat="1" applyFont="1" applyFill="1" applyBorder="1" applyAlignment="1" applyProtection="1">
      <alignment horizontal="left"/>
      <protection locked="0"/>
    </xf>
    <xf numFmtId="0" fontId="0" fillId="6" borderId="0" xfId="0" applyFont="1" applyFill="1" applyBorder="1" applyAlignment="1" applyProtection="1"/>
    <xf numFmtId="165" fontId="31" fillId="0" borderId="7" xfId="0" quotePrefix="1" applyNumberFormat="1" applyFont="1" applyBorder="1" applyAlignment="1" applyProtection="1">
      <alignment horizontal="center" vertical="top" wrapText="1"/>
      <protection locked="0"/>
    </xf>
    <xf numFmtId="0" fontId="31" fillId="0" borderId="7" xfId="0" quotePrefix="1" applyFont="1" applyBorder="1" applyAlignment="1" applyProtection="1">
      <alignment horizontal="center" vertical="top" wrapText="1"/>
      <protection locked="0"/>
    </xf>
    <xf numFmtId="165" fontId="31" fillId="0" borderId="7" xfId="0" applyNumberFormat="1" applyFont="1" applyBorder="1" applyAlignment="1" applyProtection="1">
      <alignment horizontal="center" vertical="top" wrapText="1"/>
      <protection locked="0"/>
    </xf>
    <xf numFmtId="0" fontId="31" fillId="0" borderId="7" xfId="0" applyFont="1" applyBorder="1" applyAlignment="1" applyProtection="1">
      <alignment horizontal="center" vertical="top" wrapText="1"/>
      <protection locked="0"/>
    </xf>
    <xf numFmtId="0" fontId="0" fillId="0" borderId="0" xfId="0" applyBorder="1" applyAlignment="1" applyProtection="1">
      <alignment horizontal="left" vertical="top" indent="1"/>
      <protection locked="0"/>
    </xf>
    <xf numFmtId="0" fontId="31" fillId="0" borderId="33" xfId="0" applyFont="1" applyBorder="1" applyAlignment="1">
      <alignment horizontal="center" vertical="top" wrapText="1"/>
    </xf>
    <xf numFmtId="164" fontId="31" fillId="0" borderId="33" xfId="0" applyNumberFormat="1" applyFont="1" applyBorder="1" applyAlignment="1">
      <alignment horizontal="center" vertical="top" wrapText="1"/>
    </xf>
    <xf numFmtId="0" fontId="4" fillId="0" borderId="0" xfId="0" applyFont="1" applyAlignment="1">
      <alignment wrapText="1"/>
    </xf>
    <xf numFmtId="1" fontId="0" fillId="0" borderId="0" xfId="0" applyNumberFormat="1"/>
    <xf numFmtId="0" fontId="31" fillId="0" borderId="33" xfId="0" quotePrefix="1" applyFont="1" applyBorder="1" applyAlignment="1">
      <alignment horizontal="center" vertical="top" wrapText="1"/>
    </xf>
    <xf numFmtId="0" fontId="1" fillId="0" borderId="33" xfId="0" applyFont="1" applyFill="1" applyBorder="1" applyAlignment="1" applyProtection="1">
      <alignment horizontal="center" vertical="top" wrapText="1"/>
      <protection locked="0"/>
    </xf>
    <xf numFmtId="0" fontId="29" fillId="0" borderId="0" xfId="0" applyFont="1" applyBorder="1" applyAlignment="1" applyProtection="1">
      <alignment vertical="top" wrapText="1"/>
      <protection locked="0"/>
    </xf>
    <xf numFmtId="0" fontId="32" fillId="6" borderId="0" xfId="0" applyFont="1" applyFill="1" applyBorder="1" applyAlignment="1" applyProtection="1"/>
    <xf numFmtId="0" fontId="31" fillId="0" borderId="7" xfId="0" applyNumberFormat="1" applyFont="1" applyBorder="1" applyAlignment="1" applyProtection="1">
      <alignment horizontal="center" vertical="top" wrapText="1"/>
      <protection locked="0"/>
    </xf>
    <xf numFmtId="0" fontId="1" fillId="0" borderId="38" xfId="0" applyFont="1" applyBorder="1" applyAlignment="1">
      <alignment horizontal="center" vertical="top" wrapText="1"/>
    </xf>
    <xf numFmtId="0" fontId="1" fillId="0" borderId="38" xfId="0" applyFont="1" applyBorder="1" applyAlignment="1" applyProtection="1">
      <alignment horizontal="center" vertical="top" wrapText="1"/>
      <protection locked="0"/>
    </xf>
    <xf numFmtId="0" fontId="0" fillId="0" borderId="7" xfId="0" applyBorder="1"/>
    <xf numFmtId="0" fontId="1" fillId="0" borderId="14" xfId="0" applyFont="1" applyBorder="1" applyAlignment="1">
      <alignment horizontal="center" vertical="top" wrapText="1"/>
    </xf>
    <xf numFmtId="0" fontId="1" fillId="0" borderId="9" xfId="0" applyFont="1" applyBorder="1" applyAlignment="1">
      <alignment horizontal="center" vertical="center" wrapText="1"/>
    </xf>
    <xf numFmtId="0" fontId="1" fillId="0" borderId="9" xfId="0" applyFont="1" applyBorder="1" applyAlignment="1" applyProtection="1">
      <alignment horizontal="center" vertical="top" wrapText="1"/>
      <protection locked="0"/>
    </xf>
    <xf numFmtId="0" fontId="1" fillId="0" borderId="7" xfId="0" applyFont="1" applyBorder="1" applyAlignment="1">
      <alignment horizontal="center" vertical="center" wrapText="1"/>
    </xf>
    <xf numFmtId="0" fontId="1" fillId="0" borderId="4" xfId="0" applyFont="1" applyBorder="1" applyAlignment="1">
      <alignment horizontal="center" vertical="top" wrapText="1"/>
    </xf>
    <xf numFmtId="0" fontId="6" fillId="0" borderId="38" xfId="0" applyFont="1" applyBorder="1" applyAlignment="1" applyProtection="1">
      <alignment horizontal="center" vertical="top" wrapText="1"/>
      <protection locked="0"/>
    </xf>
    <xf numFmtId="0" fontId="31" fillId="0" borderId="38" xfId="0" applyFont="1" applyBorder="1" applyAlignment="1" applyProtection="1">
      <alignment horizontal="center" vertical="top" wrapText="1"/>
      <protection locked="0"/>
    </xf>
    <xf numFmtId="0" fontId="6" fillId="0" borderId="38" xfId="0" quotePrefix="1" applyFont="1" applyBorder="1" applyAlignment="1" applyProtection="1">
      <alignment horizontal="center" vertical="top" wrapText="1"/>
      <protection locked="0"/>
    </xf>
    <xf numFmtId="0" fontId="7" fillId="0" borderId="40" xfId="0" applyFont="1" applyFill="1" applyBorder="1" applyAlignment="1" applyProtection="1"/>
    <xf numFmtId="0" fontId="0" fillId="0" borderId="39" xfId="0" applyBorder="1" applyAlignment="1" applyProtection="1"/>
    <xf numFmtId="0" fontId="33" fillId="6" borderId="0" xfId="0" applyFont="1" applyFill="1" applyBorder="1" applyAlignment="1" applyProtection="1"/>
    <xf numFmtId="0" fontId="29" fillId="0" borderId="12" xfId="0" applyFont="1" applyFill="1" applyBorder="1" applyAlignment="1" applyProtection="1">
      <alignment vertical="top" wrapText="1"/>
      <protection locked="0"/>
    </xf>
    <xf numFmtId="0" fontId="1" fillId="0" borderId="11" xfId="0" applyFont="1" applyBorder="1" applyAlignment="1" applyProtection="1">
      <alignment horizontal="center" vertical="top" wrapText="1"/>
      <protection locked="0"/>
    </xf>
    <xf numFmtId="0" fontId="3" fillId="0" borderId="13" xfId="0" applyFont="1" applyBorder="1" applyAlignment="1" applyProtection="1">
      <alignment vertical="center" wrapText="1"/>
      <protection locked="0"/>
    </xf>
    <xf numFmtId="0" fontId="0" fillId="0" borderId="0" xfId="0" applyBorder="1" applyAlignment="1" applyProtection="1">
      <alignment vertical="top"/>
      <protection locked="0"/>
    </xf>
    <xf numFmtId="0" fontId="1" fillId="7" borderId="33" xfId="0" applyFont="1" applyFill="1" applyBorder="1" applyAlignment="1">
      <alignment horizontal="center" vertical="top" wrapText="1"/>
    </xf>
    <xf numFmtId="0" fontId="0" fillId="0" borderId="0" xfId="0" applyAlignment="1">
      <alignment wrapText="1"/>
    </xf>
    <xf numFmtId="49" fontId="6" fillId="0" borderId="33" xfId="0" applyNumberFormat="1" applyFont="1" applyBorder="1" applyAlignment="1">
      <alignment horizontal="center" vertical="top" wrapText="1"/>
    </xf>
    <xf numFmtId="0" fontId="4" fillId="0" borderId="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29" fillId="0" borderId="0" xfId="0" applyFont="1" applyFill="1" applyBorder="1" applyAlignment="1" applyProtection="1">
      <alignment vertical="top" wrapText="1"/>
      <protection locked="0"/>
    </xf>
    <xf numFmtId="0" fontId="4" fillId="0" borderId="0" xfId="0" applyNumberFormat="1" applyFont="1" applyBorder="1" applyAlignment="1" applyProtection="1">
      <alignment vertical="top" wrapText="1"/>
      <protection locked="0"/>
    </xf>
    <xf numFmtId="0" fontId="16" fillId="0" borderId="0" xfId="0" applyFont="1"/>
    <xf numFmtId="9" fontId="16" fillId="0" borderId="0" xfId="0" applyNumberFormat="1" applyFont="1"/>
    <xf numFmtId="165" fontId="16" fillId="8" borderId="0" xfId="0" applyNumberFormat="1" applyFont="1" applyFill="1" applyBorder="1" applyAlignment="1" applyProtection="1">
      <alignment horizontal="left"/>
      <protection locked="0"/>
    </xf>
    <xf numFmtId="0" fontId="17" fillId="0" borderId="0" xfId="0" applyFont="1" applyBorder="1" applyProtection="1"/>
    <xf numFmtId="0" fontId="1" fillId="0" borderId="41" xfId="0" applyFont="1" applyFill="1" applyBorder="1" applyAlignment="1" applyProtection="1">
      <alignment horizontal="center" vertical="top" wrapText="1"/>
      <protection locked="0"/>
    </xf>
    <xf numFmtId="0" fontId="1" fillId="0" borderId="41" xfId="0" applyFont="1" applyFill="1" applyBorder="1" applyAlignment="1">
      <alignment horizontal="center" vertical="top" wrapText="1"/>
    </xf>
    <xf numFmtId="0" fontId="0" fillId="0" borderId="0" xfId="0" applyBorder="1" applyProtection="1">
      <protection locked="0"/>
    </xf>
    <xf numFmtId="0" fontId="0" fillId="0" borderId="12" xfId="0" applyBorder="1" applyProtection="1">
      <protection locked="0"/>
    </xf>
    <xf numFmtId="0" fontId="0" fillId="0" borderId="0" xfId="0" applyAlignment="1"/>
    <xf numFmtId="0" fontId="1" fillId="0" borderId="33"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Protection="1">
      <protection locked="0"/>
    </xf>
    <xf numFmtId="0" fontId="0" fillId="0" borderId="5" xfId="0" applyBorder="1" applyProtection="1">
      <protection locked="0"/>
    </xf>
    <xf numFmtId="0" fontId="7" fillId="0" borderId="5" xfId="0" applyFont="1" applyFill="1" applyBorder="1" applyAlignment="1" applyProtection="1">
      <protection locked="0"/>
    </xf>
    <xf numFmtId="0" fontId="7" fillId="0" borderId="6" xfId="0" applyFont="1" applyFill="1" applyBorder="1" applyAlignment="1" applyProtection="1">
      <protection locked="0"/>
    </xf>
    <xf numFmtId="0" fontId="0" fillId="0" borderId="12" xfId="0" applyFill="1" applyBorder="1" applyProtection="1">
      <protection locked="0"/>
    </xf>
    <xf numFmtId="0" fontId="1" fillId="9" borderId="33" xfId="0" applyFont="1" applyFill="1" applyBorder="1" applyAlignment="1">
      <alignment horizontal="center" vertical="top" wrapText="1"/>
    </xf>
    <xf numFmtId="49" fontId="1" fillId="9" borderId="33" xfId="0" applyNumberFormat="1" applyFont="1" applyFill="1" applyBorder="1" applyAlignment="1">
      <alignment horizontal="center" vertical="top" wrapText="1"/>
    </xf>
    <xf numFmtId="0" fontId="6" fillId="9" borderId="33" xfId="0" applyFont="1" applyFill="1" applyBorder="1" applyAlignment="1">
      <alignment horizontal="center" vertical="top" wrapText="1"/>
    </xf>
    <xf numFmtId="164" fontId="6" fillId="9" borderId="33" xfId="0" applyNumberFormat="1" applyFont="1" applyFill="1" applyBorder="1" applyAlignment="1">
      <alignment horizontal="center" vertical="top" wrapText="1"/>
    </xf>
    <xf numFmtId="0" fontId="4" fillId="0" borderId="0" xfId="0" applyFont="1" applyBorder="1" applyAlignment="1" applyProtection="1">
      <alignment vertical="top" wrapText="1"/>
      <protection locked="0"/>
    </xf>
    <xf numFmtId="0" fontId="0" fillId="0" borderId="2" xfId="0"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wrapText="1"/>
      <protection locked="0"/>
    </xf>
    <xf numFmtId="0" fontId="0" fillId="6" borderId="0" xfId="0" applyFont="1" applyFill="1" applyBorder="1" applyAlignment="1" applyProtection="1"/>
    <xf numFmtId="0" fontId="0" fillId="0" borderId="0" xfId="0" applyBorder="1" applyAlignment="1" applyProtection="1">
      <alignment horizontal="left" vertical="top"/>
    </xf>
    <xf numFmtId="0" fontId="0" fillId="0" borderId="0" xfId="0" applyBorder="1" applyAlignment="1" applyProtection="1"/>
    <xf numFmtId="0" fontId="0" fillId="0" borderId="0" xfId="0" applyFont="1" applyFill="1" applyBorder="1" applyAlignment="1" applyProtection="1"/>
    <xf numFmtId="0" fontId="4" fillId="0" borderId="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26" fillId="0" borderId="0" xfId="0" applyFont="1" applyFill="1" applyBorder="1" applyAlignment="1" applyProtection="1">
      <alignment horizontal="left" vertical="top"/>
    </xf>
    <xf numFmtId="0" fontId="0" fillId="0" borderId="0" xfId="0" applyFont="1" applyFill="1" applyBorder="1" applyAlignment="1" applyProtection="1">
      <alignment horizontal="left" vertical="top"/>
    </xf>
    <xf numFmtId="0" fontId="0" fillId="6" borderId="0" xfId="0" applyFont="1" applyFill="1" applyBorder="1" applyAlignment="1" applyProtection="1">
      <alignment horizontal="left" vertical="top"/>
    </xf>
    <xf numFmtId="0" fontId="0" fillId="6" borderId="0" xfId="0" applyFont="1" applyFill="1" applyBorder="1" applyAlignment="1" applyProtection="1"/>
    <xf numFmtId="165" fontId="0" fillId="6" borderId="0" xfId="0" applyNumberFormat="1" applyFont="1" applyFill="1" applyBorder="1" applyAlignment="1" applyProtection="1">
      <alignment horizontal="left"/>
    </xf>
    <xf numFmtId="49" fontId="26" fillId="0" borderId="0" xfId="0" applyNumberFormat="1" applyFont="1" applyFill="1" applyBorder="1" applyAlignment="1" applyProtection="1">
      <protection locked="0"/>
    </xf>
    <xf numFmtId="0" fontId="0" fillId="0" borderId="0" xfId="0" applyFont="1" applyFill="1" applyBorder="1" applyAlignment="1" applyProtection="1">
      <alignment horizontal="left" vertical="top" wrapText="1"/>
    </xf>
    <xf numFmtId="0" fontId="0" fillId="0" borderId="0" xfId="0" applyBorder="1" applyAlignment="1" applyProtection="1">
      <alignment horizontal="left" vertical="top"/>
    </xf>
    <xf numFmtId="0" fontId="0" fillId="0" borderId="0" xfId="0" applyBorder="1" applyAlignment="1" applyProtection="1"/>
    <xf numFmtId="0" fontId="0" fillId="0" borderId="0" xfId="0" applyFont="1" applyFill="1" applyBorder="1" applyAlignment="1" applyProtection="1">
      <alignment wrapText="1"/>
    </xf>
    <xf numFmtId="0" fontId="4" fillId="0" borderId="0"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0" xfId="0" applyFont="1" applyBorder="1" applyAlignment="1" applyProtection="1">
      <alignment wrapText="1"/>
      <protection locked="0"/>
    </xf>
    <xf numFmtId="0" fontId="29" fillId="0" borderId="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center" wrapText="1" indent="1"/>
      <protection locked="0"/>
    </xf>
    <xf numFmtId="0" fontId="3" fillId="0" borderId="8" xfId="0" applyFont="1" applyBorder="1" applyAlignment="1" applyProtection="1">
      <alignment horizontal="left" vertical="center" wrapText="1" indent="1"/>
      <protection locked="0"/>
    </xf>
    <xf numFmtId="0" fontId="3" fillId="0" borderId="13" xfId="0" applyFont="1" applyBorder="1" applyAlignment="1" applyProtection="1">
      <alignment horizontal="left" vertical="center" wrapText="1" indent="1"/>
      <protection locked="0"/>
    </xf>
    <xf numFmtId="0" fontId="4" fillId="0" borderId="0" xfId="0" applyFont="1" applyBorder="1" applyAlignment="1" applyProtection="1">
      <alignment horizontal="left" vertical="center" wrapText="1"/>
      <protection locked="0"/>
    </xf>
    <xf numFmtId="0" fontId="30" fillId="0" borderId="0" xfId="0" applyFont="1" applyBorder="1" applyAlignment="1" applyProtection="1">
      <alignment horizontal="left" vertical="top" wrapText="1"/>
      <protection locked="0"/>
    </xf>
    <xf numFmtId="0" fontId="30" fillId="0" borderId="5" xfId="0" applyFont="1" applyBorder="1" applyAlignment="1" applyProtection="1">
      <alignment horizontal="left" vertical="top" wrapText="1"/>
      <protection locked="0"/>
    </xf>
    <xf numFmtId="0" fontId="9" fillId="4" borderId="26" xfId="0" applyFont="1" applyFill="1" applyBorder="1" applyAlignment="1" applyProtection="1">
      <alignment horizontal="center" vertical="center"/>
    </xf>
    <xf numFmtId="0" fontId="34" fillId="8" borderId="0" xfId="0" applyFont="1" applyFill="1" applyBorder="1" applyAlignment="1" applyProtection="1">
      <alignment horizontal="center" vertical="center"/>
      <protection locked="0"/>
    </xf>
    <xf numFmtId="0" fontId="16" fillId="8" borderId="0" xfId="0" applyFont="1" applyFill="1" applyBorder="1" applyAlignment="1" applyProtection="1">
      <protection locked="0"/>
    </xf>
    <xf numFmtId="0" fontId="1" fillId="0" borderId="1" xfId="0" applyFont="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49" fontId="0" fillId="0" borderId="21" xfId="0" applyNumberFormat="1" applyFont="1" applyFill="1" applyBorder="1" applyAlignment="1" applyProtection="1"/>
    <xf numFmtId="0" fontId="0" fillId="0" borderId="0" xfId="0" applyAlignment="1"/>
    <xf numFmtId="0" fontId="26" fillId="0" borderId="0" xfId="0" applyFont="1" applyFill="1" applyBorder="1" applyAlignment="1" applyProtection="1">
      <alignment horizontal="left" vertical="top"/>
    </xf>
    <xf numFmtId="0" fontId="26" fillId="0" borderId="0" xfId="0" applyFont="1" applyBorder="1" applyAlignment="1" applyProtection="1">
      <alignment horizontal="left" vertical="top"/>
    </xf>
    <xf numFmtId="0" fontId="0" fillId="0" borderId="0" xfId="0" applyFont="1" applyFill="1" applyBorder="1" applyAlignment="1" applyProtection="1">
      <alignment horizontal="left" vertical="top"/>
    </xf>
    <xf numFmtId="0" fontId="23" fillId="0" borderId="0" xfId="0" applyFont="1" applyFill="1" applyBorder="1" applyAlignment="1" applyProtection="1">
      <alignment horizontal="left" vertical="top" wrapText="1"/>
    </xf>
    <xf numFmtId="0" fontId="0" fillId="0" borderId="0" xfId="0" applyFont="1" applyFill="1" applyBorder="1" applyAlignment="1" applyProtection="1"/>
    <xf numFmtId="0" fontId="19" fillId="0" borderId="0" xfId="0" applyFont="1" applyFill="1" applyBorder="1" applyAlignment="1" applyProtection="1">
      <alignment horizontal="left" vertical="top"/>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29" fillId="0" borderId="0" xfId="0" applyFont="1" applyFill="1" applyBorder="1" applyAlignment="1" applyProtection="1">
      <alignment vertical="top" wrapText="1"/>
      <protection locked="0"/>
    </xf>
    <xf numFmtId="0" fontId="4" fillId="0" borderId="0" xfId="0" applyNumberFormat="1" applyFont="1" applyBorder="1" applyAlignment="1" applyProtection="1">
      <alignment vertical="top" wrapText="1"/>
      <protection locked="0"/>
    </xf>
    <xf numFmtId="0" fontId="4" fillId="0" borderId="12" xfId="0" applyNumberFormat="1" applyFont="1" applyBorder="1" applyAlignment="1" applyProtection="1">
      <alignment vertical="top" wrapText="1"/>
      <protection locked="0"/>
    </xf>
    <xf numFmtId="0" fontId="7" fillId="4" borderId="16" xfId="0" applyFont="1" applyFill="1" applyBorder="1" applyAlignment="1" applyProtection="1">
      <alignment horizontal="right" vertical="center"/>
    </xf>
    <xf numFmtId="0" fontId="7" fillId="0" borderId="16" xfId="0" applyFont="1" applyBorder="1" applyAlignment="1" applyProtection="1">
      <alignment horizontal="right" vertical="center"/>
    </xf>
    <xf numFmtId="0" fontId="7" fillId="0" borderId="17" xfId="0" applyFont="1" applyBorder="1" applyAlignment="1" applyProtection="1">
      <alignment horizontal="right" vertical="center"/>
    </xf>
    <xf numFmtId="0" fontId="9" fillId="4" borderId="16" xfId="0" applyFont="1" applyFill="1" applyBorder="1" applyAlignment="1" applyProtection="1">
      <alignment horizontal="center" vertical="center"/>
    </xf>
    <xf numFmtId="0" fontId="9" fillId="0" borderId="16" xfId="0" applyFont="1" applyBorder="1" applyAlignment="1" applyProtection="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9"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horizontal="left" vertical="top" wrapText="1"/>
      <protection locked="0"/>
    </xf>
    <xf numFmtId="0" fontId="2" fillId="0" borderId="9"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3" xfId="0" applyFont="1" applyBorder="1" applyAlignment="1">
      <alignment horizontal="left" vertical="center"/>
    </xf>
  </cellXfs>
  <cellStyles count="17">
    <cellStyle name="Followed Hyperlink" xfId="6" builtinId="9" hidden="1"/>
    <cellStyle name="Followed Hyperlink" xfId="8" builtinId="9" hidden="1"/>
    <cellStyle name="Followed Hyperlink" xfId="2" builtinId="9" hidden="1"/>
    <cellStyle name="Followed Hyperlink" xfId="4" builtinId="9" hidden="1"/>
    <cellStyle name="Followed Hyperlink" xfId="16" builtinId="9" hidden="1"/>
    <cellStyle name="Followed Hyperlink" xfId="14" builtinId="9" hidden="1"/>
    <cellStyle name="Followed Hyperlink" xfId="12" builtinId="9" hidden="1"/>
    <cellStyle name="Followed Hyperlink" xfId="10" builtinId="9" hidden="1"/>
    <cellStyle name="Hyperlink" xfId="5" builtinId="8" hidden="1"/>
    <cellStyle name="Hyperlink" xfId="1" builtinId="8" hidden="1"/>
    <cellStyle name="Hyperlink" xfId="9" builtinId="8" hidden="1"/>
    <cellStyle name="Hyperlink" xfId="11" builtinId="8" hidden="1"/>
    <cellStyle name="Hyperlink" xfId="3" builtinId="8" hidden="1"/>
    <cellStyle name="Hyperlink" xfId="15" builtinId="8" hidden="1"/>
    <cellStyle name="Hyperlink" xfId="7" builtinId="8" hidden="1"/>
    <cellStyle name="Hyperlink" xfId="13" builtinId="8" hidden="1"/>
    <cellStyle name="Normal" xfId="0" builtinId="0"/>
  </cellStyles>
  <dxfs count="51">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fill>
        <patternFill patternType="none">
          <bgColor auto="1"/>
        </patternFill>
      </fill>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dxf>
    <dxf>
      <font>
        <color rgb="FFFF0000"/>
      </font>
      <fill>
        <patternFill patternType="none">
          <bgColor auto="1"/>
        </patternFill>
      </fill>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
      <font>
        <color rgb="FFFF0000"/>
      </font>
    </dxf>
    <dxf>
      <font>
        <color rgb="FFFF0000"/>
      </font>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
      <font>
        <color rgb="FFFF0000"/>
      </font>
    </dxf>
  </dxfs>
  <tableStyles count="0" defaultTableStyle="TableStyleMedium9" defaultPivotStyle="PivotStyleMedium7"/>
  <colors>
    <mruColors>
      <color rgb="FF3279C7"/>
      <color rgb="FF377AC2"/>
      <color rgb="FF73D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B1:AH94"/>
  <sheetViews>
    <sheetView workbookViewId="0">
      <selection activeCell="I9" sqref="I9"/>
    </sheetView>
  </sheetViews>
  <sheetFormatPr defaultColWidth="10.83203125" defaultRowHeight="15.5"/>
  <cols>
    <col min="1" max="2" width="2.58203125" style="17" customWidth="1"/>
    <col min="3" max="28" width="11.25" style="17" customWidth="1"/>
    <col min="29" max="29" width="2.58203125" style="17" customWidth="1"/>
    <col min="30" max="16384" width="10.83203125" style="17"/>
  </cols>
  <sheetData>
    <row r="1" spans="2:29" ht="16" thickBot="1"/>
    <row r="2" spans="2:29" ht="25" customHeight="1" thickBot="1">
      <c r="B2" s="76"/>
      <c r="C2" s="77"/>
      <c r="D2" s="78"/>
      <c r="E2" s="79"/>
      <c r="F2" s="80"/>
      <c r="G2" s="80"/>
      <c r="H2" s="80"/>
      <c r="I2" s="80"/>
      <c r="J2" s="80"/>
      <c r="K2" s="80"/>
      <c r="L2" s="80"/>
      <c r="M2" s="80"/>
      <c r="N2" s="224" t="s">
        <v>270</v>
      </c>
      <c r="O2" s="224"/>
      <c r="P2" s="224"/>
      <c r="Q2" s="224"/>
      <c r="R2" s="224"/>
      <c r="S2" s="224"/>
      <c r="T2" s="224"/>
      <c r="U2" s="81"/>
      <c r="V2" s="81"/>
      <c r="W2" s="81"/>
      <c r="X2" s="81"/>
      <c r="Y2" s="81"/>
      <c r="Z2" s="81"/>
      <c r="AA2" s="81"/>
      <c r="AB2" s="90" t="s">
        <v>103</v>
      </c>
      <c r="AC2" s="82"/>
    </row>
    <row r="3" spans="2:29" ht="16" customHeight="1">
      <c r="B3" s="83"/>
      <c r="C3" s="34"/>
      <c r="D3" s="34"/>
      <c r="E3" s="34"/>
      <c r="F3" s="34"/>
      <c r="G3" s="34"/>
      <c r="H3" s="34"/>
      <c r="I3" s="34"/>
      <c r="J3" s="34"/>
      <c r="K3" s="34"/>
      <c r="L3" s="34"/>
      <c r="M3" s="34"/>
      <c r="N3" s="34"/>
      <c r="O3" s="34"/>
      <c r="P3" s="34"/>
      <c r="Q3" s="34"/>
      <c r="R3" s="34"/>
      <c r="S3" s="34"/>
      <c r="T3" s="34"/>
      <c r="U3" s="34"/>
      <c r="V3" s="34"/>
      <c r="W3" s="34"/>
      <c r="X3" s="34"/>
      <c r="Y3" s="34"/>
      <c r="Z3" s="34"/>
      <c r="AA3" s="34"/>
      <c r="AB3" s="34"/>
      <c r="AC3" s="84"/>
    </row>
    <row r="4" spans="2:29" ht="18.5">
      <c r="B4" s="83"/>
      <c r="C4" s="34"/>
      <c r="D4" s="34"/>
      <c r="E4" s="34"/>
      <c r="F4" s="34"/>
      <c r="G4" s="34"/>
      <c r="H4" s="34"/>
      <c r="I4" s="34"/>
      <c r="J4" s="34"/>
      <c r="K4" s="34"/>
      <c r="L4" s="34"/>
      <c r="N4" s="34" t="s">
        <v>269</v>
      </c>
      <c r="O4" s="225" t="s">
        <v>310</v>
      </c>
      <c r="P4" s="226"/>
      <c r="Q4" s="226"/>
      <c r="R4" s="226"/>
      <c r="S4" s="226"/>
      <c r="T4" s="35"/>
      <c r="U4" s="35"/>
      <c r="V4" s="34"/>
      <c r="W4" s="34"/>
      <c r="X4" s="34"/>
      <c r="Y4" s="34"/>
      <c r="Z4" s="34"/>
      <c r="AA4" s="34"/>
      <c r="AB4" s="34"/>
      <c r="AC4" s="84"/>
    </row>
    <row r="5" spans="2:29" ht="16" thickBot="1">
      <c r="B5" s="83"/>
      <c r="C5" s="34"/>
      <c r="D5" s="34"/>
      <c r="E5" s="34"/>
      <c r="F5" s="34"/>
      <c r="G5" s="34"/>
      <c r="H5" s="34"/>
      <c r="I5" s="34"/>
      <c r="J5" s="34"/>
      <c r="K5" s="34"/>
      <c r="L5" s="34"/>
      <c r="M5" s="34"/>
      <c r="N5" s="34"/>
      <c r="O5" s="34"/>
      <c r="P5" s="34"/>
      <c r="Q5" s="34"/>
      <c r="R5" s="34"/>
      <c r="S5" s="34"/>
      <c r="T5" s="34"/>
      <c r="U5" s="34"/>
      <c r="V5" s="34"/>
      <c r="W5" s="34"/>
      <c r="X5" s="34"/>
      <c r="Y5" s="34"/>
      <c r="Z5" s="34"/>
      <c r="AA5" s="34"/>
      <c r="AB5" s="34"/>
      <c r="AC5" s="84"/>
    </row>
    <row r="6" spans="2:29" ht="18" customHeight="1" thickBot="1">
      <c r="B6" s="83"/>
      <c r="C6" s="227"/>
      <c r="D6" s="228"/>
      <c r="E6" s="228"/>
      <c r="F6" s="64"/>
      <c r="G6" s="229" t="s">
        <v>97</v>
      </c>
      <c r="H6" s="229"/>
      <c r="I6" s="229"/>
      <c r="J6" s="229"/>
      <c r="K6" s="229"/>
      <c r="L6" s="229"/>
      <c r="M6" s="229"/>
      <c r="N6" s="229"/>
      <c r="O6" s="229"/>
      <c r="P6" s="229"/>
      <c r="Q6" s="229"/>
      <c r="R6" s="229"/>
      <c r="S6" s="229"/>
      <c r="T6" s="229"/>
      <c r="U6" s="229"/>
      <c r="V6" s="229"/>
      <c r="W6" s="229"/>
      <c r="X6" s="229"/>
      <c r="Y6" s="229"/>
      <c r="Z6" s="229"/>
      <c r="AA6" s="65"/>
      <c r="AB6" s="75"/>
      <c r="AC6" s="84"/>
    </row>
    <row r="7" spans="2:29" ht="16" thickBot="1">
      <c r="B7" s="83"/>
      <c r="C7" s="7"/>
      <c r="D7" s="7"/>
      <c r="E7" s="7"/>
      <c r="F7" s="7"/>
      <c r="G7" s="7"/>
      <c r="H7" s="9"/>
      <c r="I7" s="227" t="s">
        <v>0</v>
      </c>
      <c r="J7" s="230"/>
      <c r="K7" s="230"/>
      <c r="L7" s="230"/>
      <c r="M7" s="230"/>
      <c r="N7" s="230"/>
      <c r="O7" s="230"/>
      <c r="P7" s="231"/>
      <c r="Q7" s="227" t="s">
        <v>1</v>
      </c>
      <c r="R7" s="230"/>
      <c r="S7" s="231"/>
      <c r="T7" s="227" t="s">
        <v>2</v>
      </c>
      <c r="U7" s="230"/>
      <c r="V7" s="231"/>
      <c r="W7" s="8"/>
      <c r="X7" s="8"/>
      <c r="Y7" s="74"/>
      <c r="Z7" s="74"/>
      <c r="AA7" s="72"/>
      <c r="AB7" s="9"/>
      <c r="AC7" s="84"/>
    </row>
    <row r="8" spans="2:29" ht="43" customHeight="1" thickBot="1">
      <c r="B8" s="83"/>
      <c r="C8" s="53" t="s">
        <v>18</v>
      </c>
      <c r="D8" s="53" t="s">
        <v>3</v>
      </c>
      <c r="E8" s="53" t="s">
        <v>4</v>
      </c>
      <c r="F8" s="53" t="s">
        <v>24</v>
      </c>
      <c r="G8" s="53" t="s">
        <v>30</v>
      </c>
      <c r="H8" s="53" t="s">
        <v>80</v>
      </c>
      <c r="I8" s="53" t="s">
        <v>81</v>
      </c>
      <c r="J8" s="53" t="s">
        <v>113</v>
      </c>
      <c r="K8" s="53" t="s">
        <v>19</v>
      </c>
      <c r="L8" s="53" t="s">
        <v>20</v>
      </c>
      <c r="M8" s="53" t="s">
        <v>84</v>
      </c>
      <c r="N8" s="53" t="s">
        <v>82</v>
      </c>
      <c r="O8" s="53" t="s">
        <v>21</v>
      </c>
      <c r="P8" s="53" t="s">
        <v>98</v>
      </c>
      <c r="Q8" s="59" t="s">
        <v>5</v>
      </c>
      <c r="R8" s="59" t="s">
        <v>22</v>
      </c>
      <c r="S8" s="59" t="s">
        <v>99</v>
      </c>
      <c r="T8" s="59" t="s">
        <v>61</v>
      </c>
      <c r="U8" s="59" t="s">
        <v>7</v>
      </c>
      <c r="V8" s="59" t="s">
        <v>26</v>
      </c>
      <c r="W8" s="53" t="s">
        <v>100</v>
      </c>
      <c r="X8" s="53" t="s">
        <v>25</v>
      </c>
      <c r="Y8" s="53" t="s">
        <v>6</v>
      </c>
      <c r="Z8" s="53" t="s">
        <v>116</v>
      </c>
      <c r="AA8" s="73" t="s">
        <v>114</v>
      </c>
      <c r="AB8" s="71" t="s">
        <v>8</v>
      </c>
      <c r="AC8" s="84"/>
    </row>
    <row r="9" spans="2:29" ht="39.75" customHeight="1" thickBot="1">
      <c r="B9" s="83"/>
      <c r="C9" s="61" t="s">
        <v>9</v>
      </c>
      <c r="D9" s="61" t="s">
        <v>10</v>
      </c>
      <c r="E9" s="61" t="s">
        <v>11</v>
      </c>
      <c r="F9" s="129" t="s">
        <v>112</v>
      </c>
      <c r="G9" s="59" t="str">
        <f>VLOOKUP($O4,BMKPlatwEDGE,6,FALSE)</f>
        <v>3480/3840</v>
      </c>
      <c r="H9" s="59">
        <f>VLOOKUP($O4,BMKPlatwEDGE,7,FALSE)</f>
        <v>95</v>
      </c>
      <c r="I9" s="123">
        <f>S28</f>
        <v>40</v>
      </c>
      <c r="J9" s="59">
        <f>VLOOKUP($O4,BMKPlatwEDGE,9,FALSE)</f>
        <v>75</v>
      </c>
      <c r="K9" s="128" t="str">
        <f>$S$29</f>
        <v>50 PSI</v>
      </c>
      <c r="L9" s="59">
        <f>VLOOKUP($O4,BMKPlatwEDGE,11,FALSE)</f>
        <v>160</v>
      </c>
      <c r="M9" s="60" t="s">
        <v>48</v>
      </c>
      <c r="N9" s="60" t="s">
        <v>48</v>
      </c>
      <c r="O9" s="59" t="str">
        <f>VLOOKUP($O4,BMKPlatwEDGE,14,FALSE)</f>
        <v>35 / 500</v>
      </c>
      <c r="P9" s="59" t="str">
        <f>VLOOKUP($O4,BMKPlatwEDGE,15,FALSE)</f>
        <v>5.0 PSIG @ 475GPM</v>
      </c>
      <c r="Q9" s="59" t="str">
        <f>VLOOKUP($O4,BMKPlatwEDGE,16,FALSE)</f>
        <v>NATURAL GAS</v>
      </c>
      <c r="R9" s="59">
        <f>VLOOKUP($O4,BMKPlatwEDGE,17,FALSE)</f>
        <v>4000</v>
      </c>
      <c r="S9" s="61" t="str">
        <f>VLOOKUP($O4,BMKPlatwEDGE,18,FALSE)</f>
        <v>4 - 14</v>
      </c>
      <c r="T9" s="59" t="str">
        <f>VLOOKUP($O4,BMKPlatwEDGE,19,FALSE)</f>
        <v>208/3/60
460/3/60</v>
      </c>
      <c r="U9" s="59" t="str">
        <f>VLOOKUP($O4,BMKPlatwEDGE,20,FALSE)</f>
        <v>23
12</v>
      </c>
      <c r="V9" s="59" t="str">
        <f>VLOOKUP($O4,BMKPlatwEDGE,21,FALSE)</f>
        <v>11
11</v>
      </c>
      <c r="W9" s="59" t="str">
        <f>VLOOKUP($O4,BMKPlatwEDGE,22,FALSE)</f>
        <v>80 x 34 x 79</v>
      </c>
      <c r="X9" s="59">
        <f>VLOOKUP($O4,BMKPlatwEDGE,23,FALSE)</f>
        <v>2820</v>
      </c>
      <c r="Y9" s="59" t="s">
        <v>47</v>
      </c>
      <c r="Z9" s="129" t="s">
        <v>29</v>
      </c>
      <c r="AA9" s="59" t="s">
        <v>115</v>
      </c>
      <c r="AB9" s="59" t="str">
        <f>VLOOKUP($O4,BMKPlatwEDGE,27,FALSE)</f>
        <v>BMK PLATINUM 4000 WITH EDGE[ii]</v>
      </c>
      <c r="AC9" s="84"/>
    </row>
    <row r="10" spans="2:29" ht="16.5" customHeight="1">
      <c r="B10" s="83"/>
      <c r="C10" s="218" t="s">
        <v>31</v>
      </c>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20"/>
      <c r="AC10" s="84"/>
    </row>
    <row r="11" spans="2:29" ht="16.5" customHeight="1">
      <c r="B11" s="83"/>
      <c r="C11" s="214" t="s">
        <v>17</v>
      </c>
      <c r="D11" s="212"/>
      <c r="E11" s="212"/>
      <c r="F11" s="163"/>
      <c r="G11" s="221" t="s">
        <v>323</v>
      </c>
      <c r="H11" s="221"/>
      <c r="I11" s="221"/>
      <c r="J11" s="221"/>
      <c r="K11" s="212" t="s">
        <v>325</v>
      </c>
      <c r="L11" s="212"/>
      <c r="M11" s="212"/>
      <c r="N11" s="212" t="s">
        <v>328</v>
      </c>
      <c r="O11" s="212"/>
      <c r="P11" s="212"/>
      <c r="Q11" s="212" t="s">
        <v>332</v>
      </c>
      <c r="R11" s="212"/>
      <c r="S11" s="212"/>
      <c r="T11" s="212" t="s">
        <v>335</v>
      </c>
      <c r="U11" s="212"/>
      <c r="V11" s="212"/>
      <c r="W11" s="212" t="s">
        <v>338</v>
      </c>
      <c r="X11" s="212"/>
      <c r="Y11" s="212"/>
      <c r="Z11" s="222" t="s">
        <v>341</v>
      </c>
      <c r="AA11" s="222"/>
      <c r="AB11" s="223"/>
      <c r="AC11" s="84"/>
    </row>
    <row r="12" spans="2:29" ht="16.5" customHeight="1">
      <c r="B12" s="83"/>
      <c r="C12" s="214" t="str">
        <f>VLOOKUP($O4,BMKPlatwEDGE,28,FALSE)</f>
        <v>2. MINIMUM TURNDOWN: 15:1</v>
      </c>
      <c r="D12" s="212"/>
      <c r="E12" s="212"/>
      <c r="F12" s="163"/>
      <c r="G12" s="221"/>
      <c r="H12" s="221"/>
      <c r="I12" s="221"/>
      <c r="J12" s="221"/>
      <c r="K12" s="212"/>
      <c r="L12" s="212"/>
      <c r="M12" s="212"/>
      <c r="N12" s="212" t="s">
        <v>329</v>
      </c>
      <c r="O12" s="212"/>
      <c r="P12" s="212"/>
      <c r="Q12" s="212"/>
      <c r="R12" s="212"/>
      <c r="S12" s="212"/>
      <c r="T12" s="212"/>
      <c r="U12" s="212"/>
      <c r="V12" s="212"/>
      <c r="W12" s="212"/>
      <c r="X12" s="212"/>
      <c r="Y12" s="212"/>
      <c r="Z12" s="222"/>
      <c r="AA12" s="222"/>
      <c r="AB12" s="223"/>
      <c r="AC12" s="84"/>
    </row>
    <row r="13" spans="2:29" ht="16.5" customHeight="1">
      <c r="B13" s="83"/>
      <c r="C13" s="214" t="s">
        <v>104</v>
      </c>
      <c r="D13" s="212"/>
      <c r="E13" s="212"/>
      <c r="F13" s="212"/>
      <c r="G13" s="221"/>
      <c r="H13" s="221"/>
      <c r="I13" s="221"/>
      <c r="J13" s="221"/>
      <c r="K13" s="212"/>
      <c r="L13" s="212"/>
      <c r="M13" s="212"/>
      <c r="N13" s="212"/>
      <c r="O13" s="212"/>
      <c r="P13" s="212"/>
      <c r="Q13" s="212" t="s">
        <v>333</v>
      </c>
      <c r="R13" s="212"/>
      <c r="S13" s="212"/>
      <c r="T13" s="216" t="s">
        <v>336</v>
      </c>
      <c r="U13" s="216"/>
      <c r="V13" s="216"/>
      <c r="W13" s="212" t="s">
        <v>339</v>
      </c>
      <c r="X13" s="212"/>
      <c r="Y13" s="212"/>
      <c r="Z13" s="222"/>
      <c r="AA13" s="222"/>
      <c r="AB13" s="223"/>
      <c r="AC13" s="84"/>
    </row>
    <row r="14" spans="2:29" ht="16.5" customHeight="1">
      <c r="B14" s="83"/>
      <c r="C14" s="214" t="s">
        <v>105</v>
      </c>
      <c r="D14" s="215"/>
      <c r="E14" s="215"/>
      <c r="F14" s="182"/>
      <c r="G14" s="221"/>
      <c r="H14" s="221"/>
      <c r="I14" s="221"/>
      <c r="J14" s="221"/>
      <c r="K14" s="212" t="s">
        <v>326</v>
      </c>
      <c r="L14" s="212"/>
      <c r="M14" s="212"/>
      <c r="N14" s="212" t="s">
        <v>330</v>
      </c>
      <c r="O14" s="212"/>
      <c r="P14" s="212"/>
      <c r="Q14" s="212"/>
      <c r="R14" s="212"/>
      <c r="S14" s="212"/>
      <c r="T14" s="216"/>
      <c r="U14" s="216"/>
      <c r="V14" s="216"/>
      <c r="W14" s="212"/>
      <c r="X14" s="212"/>
      <c r="Y14" s="212"/>
      <c r="Z14" s="167"/>
      <c r="AA14" s="167"/>
      <c r="AB14" s="68"/>
      <c r="AC14" s="84"/>
    </row>
    <row r="15" spans="2:29" ht="16.5" customHeight="1">
      <c r="B15" s="83"/>
      <c r="C15" s="214" t="s">
        <v>106</v>
      </c>
      <c r="D15" s="212"/>
      <c r="E15" s="212"/>
      <c r="F15" s="164"/>
      <c r="G15" s="212" t="s">
        <v>324</v>
      </c>
      <c r="H15" s="212"/>
      <c r="I15" s="212"/>
      <c r="J15" s="212"/>
      <c r="K15" s="212" t="s">
        <v>327</v>
      </c>
      <c r="L15" s="212"/>
      <c r="M15" s="212"/>
      <c r="N15" s="212"/>
      <c r="O15" s="212"/>
      <c r="P15" s="212"/>
      <c r="Q15" s="216" t="s">
        <v>334</v>
      </c>
      <c r="R15" s="216"/>
      <c r="S15" s="216"/>
      <c r="T15" s="216" t="s">
        <v>337</v>
      </c>
      <c r="U15" s="216"/>
      <c r="V15" s="216"/>
      <c r="W15" s="212" t="s">
        <v>340</v>
      </c>
      <c r="X15" s="212"/>
      <c r="Y15" s="212"/>
      <c r="Z15" s="167"/>
      <c r="AA15" s="167"/>
      <c r="AB15" s="68"/>
      <c r="AC15" s="84"/>
    </row>
    <row r="16" spans="2:29" ht="16.5" customHeight="1">
      <c r="B16" s="83"/>
      <c r="C16" s="214" t="s">
        <v>322</v>
      </c>
      <c r="D16" s="212"/>
      <c r="E16" s="212"/>
      <c r="F16" s="163"/>
      <c r="G16" s="212"/>
      <c r="H16" s="212"/>
      <c r="I16" s="212"/>
      <c r="J16" s="212"/>
      <c r="K16" s="212"/>
      <c r="L16" s="212"/>
      <c r="M16" s="212"/>
      <c r="N16" s="212" t="s">
        <v>331</v>
      </c>
      <c r="O16" s="212"/>
      <c r="P16" s="212"/>
      <c r="Q16" s="216"/>
      <c r="R16" s="216"/>
      <c r="S16" s="216"/>
      <c r="T16" s="216"/>
      <c r="U16" s="216"/>
      <c r="V16" s="216"/>
      <c r="W16" s="212"/>
      <c r="X16" s="212"/>
      <c r="Y16" s="212"/>
      <c r="Z16" s="167"/>
      <c r="AA16" s="167"/>
      <c r="AB16" s="68"/>
      <c r="AC16" s="84"/>
    </row>
    <row r="17" spans="2:34" ht="16.5" customHeight="1" thickBot="1">
      <c r="B17" s="83"/>
      <c r="C17" s="217"/>
      <c r="D17" s="213"/>
      <c r="E17" s="213"/>
      <c r="F17" s="178"/>
      <c r="G17" s="178"/>
      <c r="H17" s="178"/>
      <c r="I17" s="178"/>
      <c r="J17" s="178"/>
      <c r="K17" s="178"/>
      <c r="L17" s="178"/>
      <c r="M17" s="178"/>
      <c r="N17" s="213"/>
      <c r="O17" s="213"/>
      <c r="P17" s="213"/>
      <c r="Q17" s="178"/>
      <c r="R17" s="178"/>
      <c r="S17" s="178"/>
      <c r="T17" s="178"/>
      <c r="U17" s="178"/>
      <c r="V17" s="178"/>
      <c r="W17" s="213"/>
      <c r="X17" s="213"/>
      <c r="Y17" s="213"/>
      <c r="Z17" s="168"/>
      <c r="AA17" s="168"/>
      <c r="AB17" s="69"/>
      <c r="AC17" s="84"/>
    </row>
    <row r="18" spans="2:34" ht="16.5" customHeight="1">
      <c r="B18" s="8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84"/>
    </row>
    <row r="19" spans="2:34" ht="16.5" customHeight="1">
      <c r="B19" s="8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84"/>
    </row>
    <row r="20" spans="2:34">
      <c r="B20" s="8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84"/>
    </row>
    <row r="21" spans="2:34">
      <c r="B21" s="83"/>
      <c r="C21" s="208" t="s">
        <v>137</v>
      </c>
      <c r="D21" s="209"/>
      <c r="E21" s="209"/>
      <c r="F21" s="209"/>
      <c r="G21" s="209"/>
      <c r="H21" s="209"/>
      <c r="I21" s="209"/>
      <c r="J21" s="209"/>
      <c r="K21" s="209"/>
      <c r="L21" s="209"/>
      <c r="M21" s="209"/>
      <c r="N21" s="209"/>
      <c r="O21" s="209"/>
      <c r="P21" s="210"/>
      <c r="Q21" s="208" t="s">
        <v>93</v>
      </c>
      <c r="R21" s="211"/>
      <c r="S21" s="211"/>
      <c r="T21" s="211"/>
      <c r="U21" s="211"/>
      <c r="V21" s="211"/>
      <c r="W21" s="211"/>
      <c r="X21" s="211"/>
      <c r="Y21" s="28"/>
      <c r="Z21" s="28"/>
      <c r="AA21" s="28"/>
      <c r="AB21" s="28"/>
      <c r="AC21" s="84"/>
    </row>
    <row r="22" spans="2:34">
      <c r="B22" s="83"/>
      <c r="C22" s="209"/>
      <c r="D22" s="209"/>
      <c r="E22" s="209"/>
      <c r="F22" s="209"/>
      <c r="G22" s="209"/>
      <c r="H22" s="209"/>
      <c r="I22" s="209"/>
      <c r="J22" s="209"/>
      <c r="K22" s="209"/>
      <c r="L22" s="209"/>
      <c r="M22" s="209"/>
      <c r="N22" s="209"/>
      <c r="O22" s="209"/>
      <c r="P22" s="210"/>
      <c r="Q22" s="62"/>
      <c r="R22" s="63"/>
      <c r="S22" s="63"/>
      <c r="T22" s="63"/>
      <c r="U22" s="63"/>
      <c r="V22" s="63"/>
      <c r="W22" s="63"/>
      <c r="X22" s="63"/>
      <c r="Y22" s="28"/>
      <c r="Z22" s="28"/>
      <c r="AA22" s="28"/>
      <c r="AB22" s="28"/>
      <c r="AC22" s="84"/>
    </row>
    <row r="23" spans="2:34">
      <c r="B23" s="83"/>
      <c r="C23" s="209"/>
      <c r="D23" s="209"/>
      <c r="E23" s="209"/>
      <c r="F23" s="209"/>
      <c r="G23" s="209"/>
      <c r="H23" s="209"/>
      <c r="I23" s="209"/>
      <c r="J23" s="209"/>
      <c r="K23" s="209"/>
      <c r="L23" s="209"/>
      <c r="M23" s="209"/>
      <c r="N23" s="209"/>
      <c r="O23" s="209"/>
      <c r="P23" s="210"/>
      <c r="Q23" s="62" t="s">
        <v>86</v>
      </c>
      <c r="R23" s="63"/>
      <c r="S23" s="63"/>
      <c r="T23" s="63"/>
      <c r="U23" s="63"/>
      <c r="V23" s="63"/>
      <c r="W23" s="63"/>
      <c r="X23" s="63"/>
      <c r="Y23" s="28"/>
      <c r="Z23" s="28"/>
      <c r="AA23" s="28"/>
      <c r="AB23" s="28"/>
      <c r="AC23" s="84"/>
    </row>
    <row r="24" spans="2:34">
      <c r="B24" s="83"/>
      <c r="C24" s="209"/>
      <c r="D24" s="209"/>
      <c r="E24" s="209"/>
      <c r="F24" s="209"/>
      <c r="G24" s="209"/>
      <c r="H24" s="209"/>
      <c r="I24" s="209"/>
      <c r="J24" s="209"/>
      <c r="K24" s="209"/>
      <c r="L24" s="209"/>
      <c r="M24" s="209"/>
      <c r="N24" s="209"/>
      <c r="O24" s="209"/>
      <c r="P24" s="210"/>
      <c r="Q24" s="62" t="s">
        <v>87</v>
      </c>
      <c r="R24" s="63"/>
      <c r="S24" s="63"/>
      <c r="T24" s="63"/>
      <c r="U24" s="63"/>
      <c r="V24" s="63"/>
      <c r="W24" s="63"/>
      <c r="X24" s="63"/>
      <c r="Y24" s="28"/>
      <c r="Z24" s="28"/>
      <c r="AA24" s="28"/>
      <c r="AB24" s="28"/>
      <c r="AC24" s="84"/>
    </row>
    <row r="25" spans="2:34">
      <c r="B25" s="83"/>
      <c r="C25" s="209"/>
      <c r="D25" s="209"/>
      <c r="E25" s="209"/>
      <c r="F25" s="209"/>
      <c r="G25" s="209"/>
      <c r="H25" s="209"/>
      <c r="I25" s="209"/>
      <c r="J25" s="209"/>
      <c r="K25" s="209"/>
      <c r="L25" s="209"/>
      <c r="M25" s="209"/>
      <c r="N25" s="209"/>
      <c r="O25" s="209"/>
      <c r="P25" s="210"/>
      <c r="Q25" s="62" t="s">
        <v>88</v>
      </c>
      <c r="R25" s="63"/>
      <c r="S25" s="63"/>
      <c r="T25" s="63"/>
      <c r="U25" s="63"/>
      <c r="V25" s="63"/>
      <c r="W25" s="63"/>
      <c r="X25" s="63"/>
      <c r="Y25" s="28"/>
      <c r="Z25" s="28"/>
      <c r="AA25" s="28"/>
      <c r="AB25" s="28"/>
      <c r="AC25" s="84"/>
    </row>
    <row r="26" spans="2:34">
      <c r="B26" s="83"/>
      <c r="C26" s="209"/>
      <c r="D26" s="209"/>
      <c r="E26" s="209"/>
      <c r="F26" s="209"/>
      <c r="G26" s="209"/>
      <c r="H26" s="209"/>
      <c r="I26" s="209"/>
      <c r="J26" s="209"/>
      <c r="K26" s="209"/>
      <c r="L26" s="209"/>
      <c r="M26" s="209"/>
      <c r="N26" s="209"/>
      <c r="O26" s="209"/>
      <c r="P26" s="210"/>
      <c r="Q26" s="62"/>
      <c r="R26" s="63"/>
      <c r="S26" s="63"/>
      <c r="T26" s="63"/>
      <c r="U26" s="63"/>
      <c r="V26" s="63"/>
      <c r="W26" s="63"/>
      <c r="X26" s="63"/>
      <c r="Y26" s="28"/>
      <c r="Z26" s="28"/>
      <c r="AA26" s="28"/>
      <c r="AB26" s="28"/>
      <c r="AC26" s="84"/>
    </row>
    <row r="27" spans="2:34">
      <c r="B27" s="83"/>
      <c r="C27" s="209"/>
      <c r="D27" s="209"/>
      <c r="E27" s="209"/>
      <c r="F27" s="209"/>
      <c r="G27" s="209"/>
      <c r="H27" s="209"/>
      <c r="I27" s="209"/>
      <c r="J27" s="209"/>
      <c r="K27" s="209"/>
      <c r="L27" s="209"/>
      <c r="M27" s="209"/>
      <c r="N27" s="209"/>
      <c r="O27" s="209"/>
      <c r="P27" s="210"/>
      <c r="Q27" s="26"/>
      <c r="R27" s="27"/>
      <c r="S27" s="27"/>
      <c r="T27" s="27"/>
      <c r="U27" s="27"/>
      <c r="V27" s="27"/>
      <c r="W27" s="27"/>
      <c r="X27" s="27"/>
      <c r="Y27" s="36"/>
      <c r="Z27" s="36"/>
      <c r="AA27" s="36"/>
      <c r="AB27" s="36"/>
      <c r="AC27" s="84"/>
    </row>
    <row r="28" spans="2:34">
      <c r="B28" s="83"/>
      <c r="C28" s="209"/>
      <c r="D28" s="209"/>
      <c r="E28" s="209"/>
      <c r="F28" s="209"/>
      <c r="G28" s="209"/>
      <c r="H28" s="209"/>
      <c r="I28" s="209"/>
      <c r="J28" s="209"/>
      <c r="K28" s="209"/>
      <c r="L28" s="209"/>
      <c r="M28" s="209"/>
      <c r="N28" s="209"/>
      <c r="O28" s="209"/>
      <c r="P28" s="210"/>
      <c r="Q28" s="204" t="s">
        <v>89</v>
      </c>
      <c r="R28" s="205"/>
      <c r="S28" s="124">
        <v>40</v>
      </c>
      <c r="T28" s="205" t="s">
        <v>91</v>
      </c>
      <c r="U28" s="205"/>
      <c r="V28" s="205"/>
      <c r="W28" s="63"/>
      <c r="X28" s="63"/>
      <c r="Y28" s="28"/>
      <c r="Z28" s="28"/>
      <c r="AA28" s="28"/>
      <c r="AB28" s="28"/>
      <c r="AC28" s="84"/>
    </row>
    <row r="29" spans="2:34">
      <c r="B29" s="83"/>
      <c r="C29" s="67"/>
      <c r="D29" s="67"/>
      <c r="E29" s="66"/>
      <c r="F29" s="66"/>
      <c r="G29" s="66"/>
      <c r="H29" s="66"/>
      <c r="I29" s="66"/>
      <c r="J29" s="66"/>
      <c r="K29" s="66"/>
      <c r="L29" s="66"/>
      <c r="M29" s="66"/>
      <c r="N29" s="66"/>
      <c r="O29" s="66"/>
      <c r="P29" s="34"/>
      <c r="Q29" s="204" t="s">
        <v>90</v>
      </c>
      <c r="R29" s="205"/>
      <c r="S29" s="206" t="str">
        <f>INDEX(RVpressure,MATCH(1,RV_BMKPEDGE,0))&amp;" PSI"</f>
        <v>50 PSI</v>
      </c>
      <c r="T29" s="205"/>
      <c r="U29" s="138">
        <f>IF(S28*120%&lt;=S28+15,S28+15,S28*120%)</f>
        <v>55</v>
      </c>
      <c r="V29" s="125"/>
      <c r="W29" s="63"/>
      <c r="X29" s="63"/>
      <c r="Y29" s="28"/>
      <c r="Z29" s="28"/>
      <c r="AA29" s="28"/>
      <c r="AB29" s="28"/>
      <c r="AC29" s="84"/>
    </row>
    <row r="30" spans="2:34">
      <c r="B30" s="83"/>
      <c r="C30" s="67"/>
      <c r="D30" s="67"/>
      <c r="E30" s="66"/>
      <c r="F30" s="66"/>
      <c r="G30" s="66"/>
      <c r="H30" s="66"/>
      <c r="I30" s="66"/>
      <c r="J30" s="66"/>
      <c r="K30" s="66"/>
      <c r="L30" s="66"/>
      <c r="M30" s="66"/>
      <c r="N30" s="66"/>
      <c r="O30" s="66"/>
      <c r="P30" s="34"/>
      <c r="Q30" s="63"/>
      <c r="R30" s="62"/>
      <c r="S30" s="62"/>
      <c r="T30" s="62"/>
      <c r="U30" s="62"/>
      <c r="V30" s="62"/>
      <c r="W30" s="62"/>
      <c r="X30" s="62"/>
      <c r="Y30" s="37"/>
      <c r="Z30" s="37"/>
      <c r="AA30" s="37"/>
      <c r="AB30" s="37"/>
      <c r="AC30" s="84"/>
    </row>
    <row r="31" spans="2:34">
      <c r="B31" s="83"/>
      <c r="C31" s="207"/>
      <c r="D31" s="207"/>
      <c r="E31" s="62"/>
      <c r="F31" s="62"/>
      <c r="G31" s="62"/>
      <c r="H31" s="62"/>
      <c r="I31" s="62"/>
      <c r="J31" s="62"/>
      <c r="K31" s="62"/>
      <c r="L31" s="62"/>
      <c r="M31" s="62"/>
      <c r="N31" s="62"/>
      <c r="O31" s="62"/>
      <c r="P31" s="34"/>
      <c r="Q31" s="62"/>
      <c r="R31" s="62"/>
      <c r="S31" s="62"/>
      <c r="T31" s="62"/>
      <c r="U31" s="62"/>
      <c r="V31" s="62"/>
      <c r="W31" s="62"/>
      <c r="X31" s="62"/>
      <c r="Y31" s="37"/>
      <c r="Z31" s="37"/>
      <c r="AA31" s="37"/>
      <c r="AB31" s="37"/>
      <c r="AC31" s="84"/>
    </row>
    <row r="32" spans="2:34" ht="16" thickBot="1">
      <c r="B32" s="85"/>
      <c r="C32" s="86"/>
      <c r="D32" s="86"/>
      <c r="E32" s="87"/>
      <c r="F32" s="87"/>
      <c r="G32" s="87"/>
      <c r="H32" s="87"/>
      <c r="I32" s="87"/>
      <c r="J32" s="87"/>
      <c r="K32" s="87"/>
      <c r="L32" s="87"/>
      <c r="M32" s="87"/>
      <c r="N32" s="87"/>
      <c r="O32" s="87"/>
      <c r="P32" s="86"/>
      <c r="Q32" s="88"/>
      <c r="R32" s="88"/>
      <c r="S32" s="88"/>
      <c r="T32" s="88"/>
      <c r="U32" s="88"/>
      <c r="V32" s="88"/>
      <c r="W32" s="88"/>
      <c r="X32" s="88"/>
      <c r="Y32" s="89"/>
      <c r="Z32" s="89"/>
      <c r="AA32" s="89"/>
      <c r="AB32" s="89"/>
      <c r="AC32" s="91"/>
      <c r="AD32" s="23"/>
      <c r="AE32" s="23"/>
      <c r="AF32" s="23"/>
      <c r="AG32" s="23"/>
      <c r="AH32" s="23"/>
    </row>
    <row r="33" spans="2:34">
      <c r="B33" s="23"/>
      <c r="C33" s="54"/>
      <c r="D33" s="54"/>
      <c r="E33" s="54"/>
      <c r="F33" s="54"/>
      <c r="G33" s="54"/>
      <c r="H33" s="54"/>
      <c r="I33" s="25"/>
      <c r="J33" s="25"/>
      <c r="K33" s="25"/>
      <c r="L33" s="25"/>
      <c r="M33" s="25"/>
      <c r="N33" s="25"/>
      <c r="O33" s="25"/>
      <c r="P33" s="23"/>
      <c r="Q33" s="63"/>
      <c r="R33" s="63"/>
      <c r="S33" s="63"/>
      <c r="T33" s="63"/>
      <c r="U33" s="63"/>
      <c r="V33" s="63"/>
      <c r="W33" s="63"/>
      <c r="X33" s="63"/>
      <c r="Y33" s="28"/>
      <c r="Z33" s="28"/>
      <c r="AA33" s="28"/>
      <c r="AB33" s="28"/>
      <c r="AC33" s="23"/>
      <c r="AD33" s="23"/>
      <c r="AE33" s="23"/>
      <c r="AF33" s="23"/>
      <c r="AG33" s="23"/>
      <c r="AH33" s="23"/>
    </row>
    <row r="34" spans="2:34" ht="16" customHeight="1">
      <c r="B34" s="23"/>
      <c r="C34" s="54"/>
      <c r="D34" s="54"/>
      <c r="E34" s="54"/>
      <c r="F34" s="54"/>
      <c r="L34" s="29"/>
      <c r="M34" s="30"/>
      <c r="N34" s="30"/>
      <c r="O34" s="23"/>
      <c r="P34" s="23"/>
      <c r="Q34" s="23"/>
      <c r="R34" s="23"/>
      <c r="S34" s="23"/>
      <c r="T34" s="23"/>
      <c r="U34" s="23"/>
      <c r="V34" s="23"/>
      <c r="W34" s="23"/>
      <c r="X34" s="23"/>
      <c r="Y34" s="23"/>
      <c r="Z34" s="23"/>
      <c r="AA34" s="23"/>
      <c r="AB34" s="23"/>
      <c r="AC34" s="23"/>
      <c r="AD34" s="23"/>
      <c r="AE34" s="23"/>
      <c r="AF34" s="23"/>
      <c r="AG34" s="23"/>
      <c r="AH34" s="23"/>
    </row>
    <row r="35" spans="2:34">
      <c r="B35" s="23"/>
      <c r="C35" s="54"/>
      <c r="D35" s="54"/>
      <c r="E35" s="23"/>
      <c r="F35" s="23"/>
      <c r="G35" s="56"/>
      <c r="H35" s="56"/>
      <c r="I35" s="56"/>
      <c r="J35" s="56"/>
      <c r="K35" s="34"/>
      <c r="L35" s="23"/>
      <c r="M35" s="23"/>
      <c r="N35" s="23"/>
      <c r="O35" s="23"/>
      <c r="P35" s="23"/>
      <c r="Q35" s="23"/>
      <c r="R35" s="23"/>
      <c r="S35" s="23"/>
      <c r="T35" s="23"/>
      <c r="U35" s="23"/>
      <c r="V35" s="23"/>
      <c r="W35" s="23"/>
      <c r="X35" s="23"/>
      <c r="Y35" s="23"/>
      <c r="Z35" s="23"/>
      <c r="AA35" s="23"/>
      <c r="AB35" s="23"/>
      <c r="AC35" s="23"/>
      <c r="AD35" s="23"/>
      <c r="AE35" s="23"/>
      <c r="AF35" s="23"/>
      <c r="AG35" s="23"/>
      <c r="AH35" s="23"/>
    </row>
    <row r="36" spans="2:34">
      <c r="B36" s="23"/>
      <c r="C36" s="54"/>
      <c r="D36" s="54"/>
      <c r="E36" s="54"/>
      <c r="F36" s="54"/>
      <c r="G36" s="54"/>
      <c r="H36" s="54"/>
      <c r="I36" s="34"/>
      <c r="J36" s="34"/>
      <c r="K36" s="34"/>
      <c r="L36" s="54"/>
      <c r="M36" s="54"/>
      <c r="N36" s="34"/>
      <c r="O36" s="34"/>
      <c r="P36" s="34"/>
      <c r="Q36" s="23"/>
      <c r="R36" s="34"/>
      <c r="S36" s="34"/>
      <c r="T36" s="34"/>
      <c r="U36" s="23"/>
      <c r="V36" s="23"/>
      <c r="W36" s="23"/>
      <c r="X36" s="23"/>
      <c r="Y36" s="23"/>
      <c r="Z36" s="23"/>
      <c r="AA36" s="23"/>
      <c r="AB36" s="23"/>
      <c r="AC36" s="23"/>
      <c r="AD36" s="23"/>
      <c r="AE36" s="23"/>
      <c r="AF36" s="23"/>
      <c r="AG36" s="23"/>
      <c r="AH36" s="23"/>
    </row>
    <row r="37" spans="2:34">
      <c r="B37" s="23"/>
      <c r="C37" s="54"/>
      <c r="D37" s="54"/>
      <c r="E37" s="54"/>
      <c r="F37" s="54"/>
      <c r="G37" s="54"/>
      <c r="H37" s="54"/>
      <c r="I37" s="34"/>
      <c r="J37" s="34"/>
      <c r="K37" s="34"/>
      <c r="L37" s="54"/>
      <c r="M37" s="54"/>
      <c r="N37" s="34"/>
      <c r="O37" s="34"/>
      <c r="P37" s="34"/>
      <c r="Q37" s="54"/>
      <c r="R37" s="34"/>
      <c r="S37" s="34"/>
      <c r="T37" s="34"/>
      <c r="U37" s="54"/>
      <c r="V37" s="24"/>
      <c r="W37" s="24"/>
      <c r="X37" s="54"/>
      <c r="Y37" s="54"/>
      <c r="Z37" s="54"/>
      <c r="AA37" s="54"/>
      <c r="AB37" s="54"/>
      <c r="AC37" s="23"/>
      <c r="AD37" s="23"/>
      <c r="AE37" s="23"/>
      <c r="AF37" s="23"/>
      <c r="AG37" s="23"/>
      <c r="AH37" s="23"/>
    </row>
    <row r="38" spans="2:34">
      <c r="B38" s="23"/>
      <c r="C38" s="54"/>
      <c r="D38" s="23"/>
      <c r="E38" s="23"/>
      <c r="F38" s="23"/>
      <c r="G38" s="24"/>
      <c r="H38" s="24"/>
      <c r="I38" s="24"/>
      <c r="J38" s="24"/>
      <c r="K38" s="54"/>
      <c r="L38" s="54"/>
      <c r="M38" s="54"/>
      <c r="N38" s="30"/>
      <c r="O38" s="54"/>
      <c r="P38" s="54"/>
      <c r="Q38" s="54"/>
      <c r="R38" s="54"/>
      <c r="S38" s="24"/>
      <c r="T38" s="24"/>
      <c r="U38" s="24"/>
      <c r="V38" s="24"/>
      <c r="W38" s="24"/>
      <c r="X38" s="54"/>
      <c r="Y38" s="54"/>
      <c r="Z38" s="54"/>
      <c r="AA38" s="54"/>
      <c r="AB38" s="54"/>
      <c r="AC38" s="23"/>
      <c r="AD38" s="23"/>
      <c r="AE38" s="23"/>
      <c r="AF38" s="23"/>
      <c r="AG38" s="23"/>
      <c r="AH38" s="23"/>
    </row>
    <row r="39" spans="2:34">
      <c r="B39" s="23"/>
      <c r="C39" s="31"/>
      <c r="D39" s="24"/>
      <c r="E39" s="24"/>
      <c r="F39" s="24"/>
      <c r="G39" s="23"/>
      <c r="H39" s="23"/>
      <c r="I39" s="23"/>
      <c r="J39" s="23"/>
      <c r="K39" s="23"/>
      <c r="L39" s="23"/>
      <c r="M39" s="23"/>
      <c r="N39" s="23"/>
      <c r="O39" s="54"/>
      <c r="P39" s="54"/>
      <c r="Q39" s="54"/>
      <c r="R39" s="24"/>
      <c r="S39" s="24"/>
      <c r="T39" s="24"/>
      <c r="U39" s="24"/>
      <c r="V39" s="24"/>
      <c r="W39" s="24"/>
      <c r="X39" s="54"/>
      <c r="Y39" s="54"/>
      <c r="Z39" s="54"/>
      <c r="AA39" s="54"/>
      <c r="AB39" s="54"/>
      <c r="AC39" s="23"/>
      <c r="AD39" s="23"/>
      <c r="AE39" s="23"/>
      <c r="AF39" s="23"/>
      <c r="AG39" s="23"/>
      <c r="AH39" s="23"/>
    </row>
    <row r="40" spans="2:34">
      <c r="B40" s="23"/>
      <c r="C40" s="24"/>
      <c r="D40" s="24"/>
      <c r="E40" s="24"/>
      <c r="F40" s="24"/>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row>
    <row r="41" spans="2:34">
      <c r="B41" s="23"/>
      <c r="C41" s="24"/>
      <c r="D41" s="24"/>
      <c r="E41" s="56"/>
      <c r="F41" s="56"/>
      <c r="G41" s="57"/>
      <c r="H41" s="57"/>
      <c r="I41" s="57"/>
      <c r="J41" s="55"/>
      <c r="K41" s="55"/>
      <c r="L41" s="55"/>
      <c r="M41" s="56"/>
      <c r="N41" s="56"/>
      <c r="O41" s="56"/>
      <c r="P41" s="58"/>
      <c r="Q41" s="58"/>
      <c r="R41" s="58"/>
      <c r="S41" s="56"/>
      <c r="T41" s="56"/>
      <c r="U41" s="56"/>
      <c r="V41" s="56"/>
      <c r="W41" s="56"/>
      <c r="X41" s="56"/>
      <c r="Y41" s="56"/>
      <c r="Z41" s="56"/>
      <c r="AA41" s="56"/>
      <c r="AB41" s="56"/>
      <c r="AC41" s="23"/>
      <c r="AD41" s="23"/>
      <c r="AE41" s="23"/>
      <c r="AF41" s="23"/>
      <c r="AG41" s="23"/>
      <c r="AH41" s="23"/>
    </row>
    <row r="42" spans="2:34">
      <c r="B42" s="23"/>
      <c r="C42" s="23"/>
      <c r="D42" s="23"/>
      <c r="E42" s="58"/>
      <c r="F42" s="58"/>
      <c r="G42" s="58"/>
      <c r="H42" s="58"/>
      <c r="I42" s="58"/>
      <c r="J42" s="56"/>
      <c r="K42" s="56"/>
      <c r="L42" s="56"/>
      <c r="M42" s="56"/>
      <c r="N42" s="56"/>
      <c r="O42" s="56"/>
      <c r="P42" s="58"/>
      <c r="Q42" s="58"/>
      <c r="R42" s="58"/>
      <c r="S42" s="56"/>
      <c r="T42" s="56"/>
      <c r="U42" s="56"/>
      <c r="V42" s="56"/>
      <c r="W42" s="56"/>
      <c r="X42" s="56"/>
      <c r="Y42" s="56"/>
      <c r="Z42" s="56"/>
      <c r="AA42" s="56"/>
      <c r="AB42" s="56"/>
      <c r="AC42" s="23"/>
      <c r="AD42" s="23"/>
      <c r="AE42" s="23"/>
      <c r="AF42" s="23"/>
      <c r="AG42" s="23"/>
      <c r="AH42" s="23"/>
    </row>
    <row r="43" spans="2:34">
      <c r="B43" s="23"/>
      <c r="C43" s="29"/>
      <c r="D43" s="30"/>
      <c r="E43" s="56"/>
      <c r="F43" s="56"/>
      <c r="G43" s="56"/>
      <c r="H43" s="56"/>
      <c r="I43" s="56"/>
      <c r="J43" s="56"/>
      <c r="K43" s="56"/>
      <c r="L43" s="56"/>
      <c r="M43" s="56"/>
      <c r="N43" s="56"/>
      <c r="O43" s="56"/>
      <c r="P43" s="56"/>
      <c r="Q43" s="56"/>
      <c r="R43" s="56"/>
      <c r="S43" s="56"/>
      <c r="T43" s="56"/>
      <c r="U43" s="56"/>
      <c r="V43" s="56"/>
      <c r="W43" s="56"/>
      <c r="X43" s="56"/>
      <c r="Y43" s="56"/>
      <c r="Z43" s="56"/>
      <c r="AA43" s="56"/>
      <c r="AB43" s="56"/>
      <c r="AC43" s="23"/>
      <c r="AD43" s="23"/>
      <c r="AE43" s="23"/>
      <c r="AF43" s="23"/>
      <c r="AG43" s="23"/>
      <c r="AH43" s="23"/>
    </row>
    <row r="44" spans="2:34">
      <c r="B44" s="23"/>
      <c r="C44" s="23"/>
      <c r="D44" s="23"/>
      <c r="E44" s="56"/>
      <c r="F44" s="56"/>
      <c r="G44" s="56"/>
      <c r="H44" s="56"/>
      <c r="I44" s="56"/>
      <c r="J44" s="56"/>
      <c r="K44" s="56"/>
      <c r="L44" s="56"/>
      <c r="M44" s="56"/>
      <c r="N44" s="56"/>
      <c r="O44" s="56"/>
      <c r="P44" s="56"/>
      <c r="Q44" s="56"/>
      <c r="R44" s="56"/>
      <c r="S44" s="56"/>
      <c r="T44" s="56"/>
      <c r="U44" s="56"/>
      <c r="V44" s="56"/>
      <c r="W44" s="56"/>
      <c r="X44" s="56"/>
      <c r="Y44" s="56"/>
      <c r="Z44" s="56"/>
      <c r="AA44" s="56"/>
      <c r="AB44" s="56"/>
      <c r="AC44" s="23"/>
      <c r="AD44" s="23"/>
      <c r="AE44" s="23"/>
      <c r="AF44" s="23"/>
      <c r="AG44" s="23"/>
      <c r="AH44" s="23"/>
    </row>
    <row r="45" spans="2:34">
      <c r="B45" s="23"/>
      <c r="C45" s="29"/>
      <c r="D45" s="30"/>
      <c r="E45" s="30"/>
      <c r="F45" s="30"/>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2:34">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row>
    <row r="47" spans="2:34">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row>
    <row r="48" spans="2:34">
      <c r="B48" s="23"/>
      <c r="C48" s="54"/>
      <c r="D48" s="24"/>
      <c r="E48" s="24"/>
      <c r="F48" s="24"/>
      <c r="G48" s="54"/>
      <c r="H48" s="54"/>
      <c r="I48" s="54"/>
      <c r="J48" s="54"/>
      <c r="K48" s="54"/>
      <c r="L48" s="54"/>
      <c r="M48" s="24"/>
      <c r="N48" s="24"/>
      <c r="O48" s="24"/>
      <c r="P48" s="54"/>
      <c r="Q48" s="24"/>
      <c r="R48" s="24"/>
      <c r="S48" s="24"/>
      <c r="T48" s="23"/>
      <c r="U48" s="23"/>
      <c r="V48" s="23"/>
      <c r="W48" s="23"/>
      <c r="X48" s="23"/>
      <c r="Y48" s="23"/>
      <c r="Z48" s="23"/>
      <c r="AA48" s="23"/>
      <c r="AB48" s="23"/>
      <c r="AC48" s="23"/>
      <c r="AD48" s="23"/>
      <c r="AE48" s="23"/>
      <c r="AF48" s="23"/>
      <c r="AG48" s="23"/>
      <c r="AH48" s="23"/>
    </row>
    <row r="49" spans="2:34">
      <c r="B49" s="23"/>
      <c r="C49" s="54"/>
      <c r="D49" s="24"/>
      <c r="E49" s="24"/>
      <c r="F49" s="24"/>
      <c r="G49" s="54"/>
      <c r="H49" s="54"/>
      <c r="I49" s="54"/>
      <c r="J49" s="54"/>
      <c r="K49" s="54"/>
      <c r="L49" s="54"/>
      <c r="M49" s="24"/>
      <c r="N49" s="24"/>
      <c r="O49" s="24"/>
      <c r="P49" s="24"/>
      <c r="Q49" s="24"/>
      <c r="R49" s="24"/>
      <c r="S49" s="24"/>
      <c r="T49" s="23"/>
      <c r="U49" s="23"/>
      <c r="V49" s="23"/>
      <c r="W49" s="23"/>
      <c r="X49" s="23"/>
      <c r="Y49" s="23"/>
      <c r="Z49" s="23"/>
      <c r="AA49" s="23"/>
      <c r="AB49" s="23"/>
      <c r="AC49" s="23"/>
      <c r="AD49" s="23"/>
      <c r="AE49" s="23"/>
      <c r="AF49" s="23"/>
      <c r="AG49" s="23"/>
      <c r="AH49" s="23"/>
    </row>
    <row r="50" spans="2:34">
      <c r="B50" s="23"/>
      <c r="C50" s="54"/>
      <c r="D50" s="24"/>
      <c r="E50" s="24"/>
      <c r="F50" s="24"/>
      <c r="G50" s="54"/>
      <c r="H50" s="54"/>
      <c r="I50" s="54"/>
      <c r="J50" s="54"/>
      <c r="K50" s="54"/>
      <c r="L50" s="54"/>
      <c r="M50" s="24"/>
      <c r="N50" s="24"/>
      <c r="O50" s="24"/>
      <c r="P50" s="24"/>
      <c r="Q50" s="24"/>
      <c r="R50" s="24"/>
      <c r="S50" s="24"/>
      <c r="T50" s="23"/>
      <c r="U50" s="23"/>
      <c r="V50" s="23"/>
      <c r="W50" s="23"/>
      <c r="X50" s="23"/>
      <c r="Y50" s="23"/>
      <c r="Z50" s="23"/>
      <c r="AA50" s="23"/>
      <c r="AB50" s="23"/>
      <c r="AC50" s="23"/>
      <c r="AD50" s="23"/>
      <c r="AE50" s="23"/>
      <c r="AF50" s="23"/>
      <c r="AG50" s="23"/>
      <c r="AH50" s="23"/>
    </row>
    <row r="51" spans="2:34">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2:3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2:34">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2:34">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2:34">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2:34">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2:34">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2:34">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2:34">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2:34">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2:34">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2:34">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2:34">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2:34">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2:34">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2:34">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2:34">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2:34">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2:34">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2:34">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2:34">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2:34">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2:34">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2:34">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2:34">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2:34">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2:34">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2:34">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2:34">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2:34">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2:34">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2:34">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2:34">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2:34">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2:34">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2:3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2:34">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2:34">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2:34">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2:34">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2:34">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2:34">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row r="93" spans="2:34">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row>
    <row r="94" spans="2:34">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row>
  </sheetData>
  <sheetProtection algorithmName="SHA-512" hashValue="CTQr8ukj9+i0WyRXXk4VWbnhBQnmfgBfQt1TcKNUGEUK2WRowC1NBcHCUsPWuFhtnHL1D68oSZVLPPiP4S0oXg==" saltValue="FVR2EZvXex30CSFkeR6xEw==" spinCount="100000" sheet="1" objects="1" scenarios="1"/>
  <mergeCells count="40">
    <mergeCell ref="N2:T2"/>
    <mergeCell ref="O4:S4"/>
    <mergeCell ref="C6:E6"/>
    <mergeCell ref="G6:Z6"/>
    <mergeCell ref="T7:V7"/>
    <mergeCell ref="I7:P7"/>
    <mergeCell ref="Q7:S7"/>
    <mergeCell ref="C10:AB10"/>
    <mergeCell ref="C11:E11"/>
    <mergeCell ref="G11:J14"/>
    <mergeCell ref="K11:M13"/>
    <mergeCell ref="N11:P11"/>
    <mergeCell ref="Q11:S12"/>
    <mergeCell ref="T11:V12"/>
    <mergeCell ref="W11:Y12"/>
    <mergeCell ref="N12:P13"/>
    <mergeCell ref="C12:E12"/>
    <mergeCell ref="Z11:AB13"/>
    <mergeCell ref="W15:Y17"/>
    <mergeCell ref="C15:E15"/>
    <mergeCell ref="N16:P17"/>
    <mergeCell ref="N14:P15"/>
    <mergeCell ref="C14:E14"/>
    <mergeCell ref="G15:J16"/>
    <mergeCell ref="K15:M16"/>
    <mergeCell ref="Q15:S16"/>
    <mergeCell ref="T15:V16"/>
    <mergeCell ref="Q13:S14"/>
    <mergeCell ref="C13:F13"/>
    <mergeCell ref="T13:V14"/>
    <mergeCell ref="W13:Y14"/>
    <mergeCell ref="K14:M14"/>
    <mergeCell ref="C16:E17"/>
    <mergeCell ref="Q29:R29"/>
    <mergeCell ref="S29:T29"/>
    <mergeCell ref="C31:D31"/>
    <mergeCell ref="C21:P28"/>
    <mergeCell ref="Q21:X21"/>
    <mergeCell ref="Q28:R28"/>
    <mergeCell ref="T28:V28"/>
  </mergeCells>
  <conditionalFormatting sqref="L9:N9">
    <cfRule type="containsText" dxfId="50" priority="7" operator="containsText" text="80">
      <formula>NOT(ISERROR(SEARCH("80",L9)))</formula>
    </cfRule>
  </conditionalFormatting>
  <conditionalFormatting sqref="T9">
    <cfRule type="containsText" dxfId="49" priority="6" operator="containsText" text="460">
      <formula>NOT(ISERROR(SEARCH("460",T9)))</formula>
    </cfRule>
  </conditionalFormatting>
  <conditionalFormatting sqref="U9">
    <cfRule type="containsText" dxfId="48" priority="4" operator="containsText" text="19">
      <formula>NOT(ISERROR(SEARCH("19",U9)))</formula>
    </cfRule>
    <cfRule type="containsText" dxfId="47" priority="5" operator="containsText" text="10">
      <formula>NOT(ISERROR(SEARCH("10",U9)))</formula>
    </cfRule>
  </conditionalFormatting>
  <conditionalFormatting sqref="V9">
    <cfRule type="containsText" dxfId="46" priority="3" operator="containsText" text="3">
      <formula>NOT(ISERROR(SEARCH("3",V9)))</formula>
    </cfRule>
  </conditionalFormatting>
  <conditionalFormatting sqref="Z11 V43">
    <cfRule type="expression" dxfId="45" priority="2">
      <formula>AND($R$9&lt;3000)=TRUE</formula>
    </cfRule>
  </conditionalFormatting>
  <conditionalFormatting sqref="V41">
    <cfRule type="expression" dxfId="44" priority="1">
      <formula>AND($R$9&lt;3000)=TRUE</formula>
    </cfRule>
  </conditionalFormatting>
  <dataValidations count="1">
    <dataValidation type="list" allowBlank="1" showInputMessage="1" showErrorMessage="1" sqref="O4:S4" xr:uid="{00000000-0002-0000-0000-000000000000}">
      <formula1>BMKPlatEdgeii</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1D08A-2CEF-4F5A-AE3D-EB5B66448ED3}">
  <sheetPr codeName="Sheet2">
    <tabColor rgb="FF00B050"/>
  </sheetPr>
  <dimension ref="B1:AH94"/>
  <sheetViews>
    <sheetView tabSelected="1" workbookViewId="0">
      <selection activeCell="H29" sqref="H29"/>
    </sheetView>
  </sheetViews>
  <sheetFormatPr defaultColWidth="10.83203125" defaultRowHeight="15.5"/>
  <cols>
    <col min="1" max="2" width="2.58203125" style="17" customWidth="1"/>
    <col min="3" max="28" width="11.25" style="17" customWidth="1"/>
    <col min="29" max="29" width="2.58203125" style="17" customWidth="1"/>
    <col min="30" max="16384" width="10.83203125" style="17"/>
  </cols>
  <sheetData>
    <row r="1" spans="2:29" ht="16" thickBot="1"/>
    <row r="2" spans="2:29" ht="25" customHeight="1" thickBot="1">
      <c r="B2" s="76"/>
      <c r="C2" s="77"/>
      <c r="D2" s="78"/>
      <c r="E2" s="79"/>
      <c r="F2" s="80"/>
      <c r="G2" s="80"/>
      <c r="H2" s="80"/>
      <c r="I2" s="80"/>
      <c r="J2" s="80"/>
      <c r="K2" s="80"/>
      <c r="L2" s="80"/>
      <c r="M2" s="80"/>
      <c r="N2" s="224" t="s">
        <v>270</v>
      </c>
      <c r="O2" s="224"/>
      <c r="P2" s="224"/>
      <c r="Q2" s="224"/>
      <c r="R2" s="224"/>
      <c r="S2" s="224"/>
      <c r="T2" s="224"/>
      <c r="U2" s="81"/>
      <c r="V2" s="81"/>
      <c r="W2" s="81"/>
      <c r="X2" s="81"/>
      <c r="Y2" s="81"/>
      <c r="Z2" s="81"/>
      <c r="AA2" s="81"/>
      <c r="AB2" s="90" t="s">
        <v>103</v>
      </c>
      <c r="AC2" s="82"/>
    </row>
    <row r="3" spans="2:29" ht="16" customHeight="1">
      <c r="B3" s="83"/>
      <c r="C3" s="34"/>
      <c r="D3" s="34"/>
      <c r="E3" s="34"/>
      <c r="F3" s="34"/>
      <c r="G3" s="34"/>
      <c r="H3" s="34"/>
      <c r="I3" s="34"/>
      <c r="J3" s="34"/>
      <c r="K3" s="34"/>
      <c r="L3" s="34"/>
      <c r="M3" s="34"/>
      <c r="N3" s="34"/>
      <c r="O3" s="34"/>
      <c r="P3" s="34"/>
      <c r="Q3" s="34"/>
      <c r="R3" s="34"/>
      <c r="S3" s="34"/>
      <c r="T3" s="34"/>
      <c r="U3" s="34"/>
      <c r="V3" s="34"/>
      <c r="W3" s="34"/>
      <c r="X3" s="34"/>
      <c r="Y3" s="34"/>
      <c r="Z3" s="34"/>
      <c r="AA3" s="34"/>
      <c r="AB3" s="34"/>
      <c r="AC3" s="84"/>
    </row>
    <row r="4" spans="2:29" ht="18.5">
      <c r="B4" s="83"/>
      <c r="C4" s="34"/>
      <c r="D4" s="34"/>
      <c r="E4" s="34"/>
      <c r="F4" s="34"/>
      <c r="G4" s="34"/>
      <c r="H4" s="34"/>
      <c r="I4" s="34"/>
      <c r="J4" s="34"/>
      <c r="K4" s="34"/>
      <c r="L4" s="34"/>
      <c r="N4" s="34" t="s">
        <v>269</v>
      </c>
      <c r="O4" s="225" t="s">
        <v>310</v>
      </c>
      <c r="P4" s="226"/>
      <c r="Q4" s="226"/>
      <c r="R4" s="226"/>
      <c r="S4" s="226"/>
      <c r="T4" s="35"/>
      <c r="U4" s="35"/>
      <c r="V4" s="34"/>
      <c r="W4" s="34"/>
      <c r="X4" s="34"/>
      <c r="Y4" s="34"/>
      <c r="Z4" s="34"/>
      <c r="AA4" s="34"/>
      <c r="AB4" s="34"/>
      <c r="AC4" s="84"/>
    </row>
    <row r="5" spans="2:29" ht="16" thickBot="1">
      <c r="B5" s="83"/>
      <c r="C5" s="34"/>
      <c r="D5" s="34"/>
      <c r="E5" s="34"/>
      <c r="F5" s="34"/>
      <c r="G5" s="34"/>
      <c r="H5" s="34"/>
      <c r="I5" s="34"/>
      <c r="J5" s="34"/>
      <c r="K5" s="34"/>
      <c r="L5" s="34"/>
      <c r="M5" s="34"/>
      <c r="N5" s="34"/>
      <c r="O5" s="34"/>
      <c r="P5" s="34"/>
      <c r="Q5" s="34"/>
      <c r="R5" s="34"/>
      <c r="S5" s="34"/>
      <c r="T5" s="34"/>
      <c r="U5" s="34"/>
      <c r="V5" s="34"/>
      <c r="W5" s="34"/>
      <c r="X5" s="34"/>
      <c r="Y5" s="34"/>
      <c r="Z5" s="34"/>
      <c r="AA5" s="34"/>
      <c r="AB5" s="34"/>
      <c r="AC5" s="84"/>
    </row>
    <row r="6" spans="2:29" ht="18" customHeight="1" thickBot="1">
      <c r="B6" s="83"/>
      <c r="C6" s="227"/>
      <c r="D6" s="228"/>
      <c r="E6" s="228"/>
      <c r="F6" s="192"/>
      <c r="G6" s="229" t="s">
        <v>97</v>
      </c>
      <c r="H6" s="229"/>
      <c r="I6" s="229"/>
      <c r="J6" s="229"/>
      <c r="K6" s="229"/>
      <c r="L6" s="229"/>
      <c r="M6" s="229"/>
      <c r="N6" s="229"/>
      <c r="O6" s="229"/>
      <c r="P6" s="229"/>
      <c r="Q6" s="229"/>
      <c r="R6" s="229"/>
      <c r="S6" s="229"/>
      <c r="T6" s="229"/>
      <c r="U6" s="229"/>
      <c r="V6" s="229"/>
      <c r="W6" s="229"/>
      <c r="X6" s="229"/>
      <c r="Y6" s="229"/>
      <c r="Z6" s="229"/>
      <c r="AA6" s="193"/>
      <c r="AB6" s="75"/>
      <c r="AC6" s="84"/>
    </row>
    <row r="7" spans="2:29" ht="16" thickBot="1">
      <c r="B7" s="83"/>
      <c r="C7" s="7"/>
      <c r="D7" s="7"/>
      <c r="E7" s="7"/>
      <c r="F7" s="7"/>
      <c r="G7" s="7"/>
      <c r="H7" s="9"/>
      <c r="I7" s="227" t="s">
        <v>0</v>
      </c>
      <c r="J7" s="230"/>
      <c r="K7" s="230"/>
      <c r="L7" s="230"/>
      <c r="M7" s="230"/>
      <c r="N7" s="230"/>
      <c r="O7" s="230"/>
      <c r="P7" s="231"/>
      <c r="Q7" s="227" t="s">
        <v>1</v>
      </c>
      <c r="R7" s="230"/>
      <c r="S7" s="231"/>
      <c r="T7" s="227" t="s">
        <v>2</v>
      </c>
      <c r="U7" s="230"/>
      <c r="V7" s="231"/>
      <c r="W7" s="8"/>
      <c r="X7" s="8"/>
      <c r="Y7" s="74"/>
      <c r="Z7" s="74"/>
      <c r="AA7" s="72"/>
      <c r="AB7" s="9"/>
      <c r="AC7" s="84"/>
    </row>
    <row r="8" spans="2:29" ht="43" customHeight="1" thickBot="1">
      <c r="B8" s="83"/>
      <c r="C8" s="53" t="s">
        <v>18</v>
      </c>
      <c r="D8" s="53" t="s">
        <v>3</v>
      </c>
      <c r="E8" s="53" t="s">
        <v>4</v>
      </c>
      <c r="F8" s="53" t="s">
        <v>24</v>
      </c>
      <c r="G8" s="53" t="s">
        <v>30</v>
      </c>
      <c r="H8" s="53" t="s">
        <v>80</v>
      </c>
      <c r="I8" s="53" t="s">
        <v>81</v>
      </c>
      <c r="J8" s="53" t="s">
        <v>113</v>
      </c>
      <c r="K8" s="53" t="s">
        <v>19</v>
      </c>
      <c r="L8" s="53" t="s">
        <v>20</v>
      </c>
      <c r="M8" s="53" t="s">
        <v>84</v>
      </c>
      <c r="N8" s="53" t="s">
        <v>82</v>
      </c>
      <c r="O8" s="53" t="s">
        <v>21</v>
      </c>
      <c r="P8" s="53" t="s">
        <v>98</v>
      </c>
      <c r="Q8" s="59" t="s">
        <v>5</v>
      </c>
      <c r="R8" s="59" t="s">
        <v>22</v>
      </c>
      <c r="S8" s="59" t="s">
        <v>99</v>
      </c>
      <c r="T8" s="59" t="s">
        <v>61</v>
      </c>
      <c r="U8" s="59" t="s">
        <v>7</v>
      </c>
      <c r="V8" s="59" t="s">
        <v>26</v>
      </c>
      <c r="W8" s="53" t="s">
        <v>100</v>
      </c>
      <c r="X8" s="53" t="s">
        <v>25</v>
      </c>
      <c r="Y8" s="53" t="s">
        <v>6</v>
      </c>
      <c r="Z8" s="53" t="s">
        <v>116</v>
      </c>
      <c r="AA8" s="73" t="s">
        <v>114</v>
      </c>
      <c r="AB8" s="71" t="s">
        <v>8</v>
      </c>
      <c r="AC8" s="84"/>
    </row>
    <row r="9" spans="2:29" ht="39.75" customHeight="1" thickBot="1">
      <c r="B9" s="83"/>
      <c r="C9" s="61" t="s">
        <v>9</v>
      </c>
      <c r="D9" s="61" t="s">
        <v>10</v>
      </c>
      <c r="E9" s="61" t="s">
        <v>11</v>
      </c>
      <c r="F9" s="129" t="s">
        <v>112</v>
      </c>
      <c r="G9" s="59" t="str">
        <f>VLOOKUP($O4,BMKPlatwEDGE,6,FALSE)</f>
        <v>3480/3840</v>
      </c>
      <c r="H9" s="59">
        <f>VLOOKUP($O4,BMKPlatwEDGE,7,FALSE)</f>
        <v>95</v>
      </c>
      <c r="I9" s="123">
        <f>S28</f>
        <v>40</v>
      </c>
      <c r="J9" s="59">
        <f>VLOOKUP($O4,BMKPlatwEDGE,9,FALSE)</f>
        <v>75</v>
      </c>
      <c r="K9" s="128" t="str">
        <f>$S$29</f>
        <v>50 PSI</v>
      </c>
      <c r="L9" s="59">
        <f>VLOOKUP($O4,BMKPlatwEDGE,11,FALSE)</f>
        <v>160</v>
      </c>
      <c r="M9" s="60" t="s">
        <v>48</v>
      </c>
      <c r="N9" s="60" t="s">
        <v>48</v>
      </c>
      <c r="O9" s="59" t="str">
        <f>VLOOKUP($O4,BMKPlatwEDGE,14,FALSE)</f>
        <v>35 / 500</v>
      </c>
      <c r="P9" s="59" t="str">
        <f>VLOOKUP($O4,BMKPlatwEDGE,15,FALSE)</f>
        <v>5.0 PSIG @ 475GPM</v>
      </c>
      <c r="Q9" s="59" t="str">
        <f>VLOOKUP($O4,BMKPlatwEDGE,16,FALSE)</f>
        <v>NATURAL GAS</v>
      </c>
      <c r="R9" s="59">
        <f>VLOOKUP($O4,BMKPlatwEDGE,17,FALSE)</f>
        <v>4000</v>
      </c>
      <c r="S9" s="61" t="str">
        <f>VLOOKUP($O4,BMKPlatwEDGE,18,FALSE)</f>
        <v>4 - 14</v>
      </c>
      <c r="T9" s="59" t="str">
        <f>VLOOKUP($O4,BMKPlatwEDGE,19,FALSE)</f>
        <v>208/3/60
460/3/60</v>
      </c>
      <c r="U9" s="59" t="str">
        <f>VLOOKUP($O4,BMKPlatwEDGE,20,FALSE)</f>
        <v>23
12</v>
      </c>
      <c r="V9" s="59" t="str">
        <f>VLOOKUP($O4,BMKPlatwEDGE,21,FALSE)</f>
        <v>11
11</v>
      </c>
      <c r="W9" s="59" t="str">
        <f>VLOOKUP($O4,BMKPlatwEDGE,22,FALSE)</f>
        <v>80 x 34 x 79</v>
      </c>
      <c r="X9" s="59">
        <f>VLOOKUP($O4,BMKPlatwEDGE,23,FALSE)</f>
        <v>2820</v>
      </c>
      <c r="Y9" s="59" t="s">
        <v>47</v>
      </c>
      <c r="Z9" s="129" t="s">
        <v>29</v>
      </c>
      <c r="AA9" s="59" t="s">
        <v>115</v>
      </c>
      <c r="AB9" s="59" t="str">
        <f>VLOOKUP($O4,BMKPlatwEDGE,27,FALSE)</f>
        <v>BMK PLATINUM 4000 WITH EDGE[ii]</v>
      </c>
      <c r="AC9" s="84"/>
    </row>
    <row r="10" spans="2:29" ht="16.5" customHeight="1">
      <c r="B10" s="83"/>
      <c r="C10" s="218" t="s">
        <v>31</v>
      </c>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20"/>
      <c r="AC10" s="84"/>
    </row>
    <row r="11" spans="2:29" ht="16.5" customHeight="1">
      <c r="B11" s="83"/>
      <c r="C11" s="214" t="s">
        <v>17</v>
      </c>
      <c r="D11" s="212"/>
      <c r="E11" s="212"/>
      <c r="F11" s="194"/>
      <c r="G11" s="221" t="s">
        <v>323</v>
      </c>
      <c r="H11" s="221"/>
      <c r="I11" s="221"/>
      <c r="J11" s="221"/>
      <c r="K11" s="212" t="s">
        <v>325</v>
      </c>
      <c r="L11" s="212"/>
      <c r="M11" s="212"/>
      <c r="N11" s="212" t="s">
        <v>328</v>
      </c>
      <c r="O11" s="212"/>
      <c r="P11" s="212"/>
      <c r="Q11" s="212" t="s">
        <v>332</v>
      </c>
      <c r="R11" s="212"/>
      <c r="S11" s="212"/>
      <c r="T11" s="212" t="s">
        <v>335</v>
      </c>
      <c r="U11" s="212"/>
      <c r="V11" s="212"/>
      <c r="W11" s="212" t="s">
        <v>338</v>
      </c>
      <c r="X11" s="212"/>
      <c r="Y11" s="212"/>
      <c r="Z11" s="222" t="s">
        <v>341</v>
      </c>
      <c r="AA11" s="222"/>
      <c r="AB11" s="223"/>
      <c r="AC11" s="84"/>
    </row>
    <row r="12" spans="2:29" ht="16.5" customHeight="1">
      <c r="B12" s="83"/>
      <c r="C12" s="214" t="str">
        <f>VLOOKUP($O4,BMKPlatwEDGE,28,FALSE)</f>
        <v>2. MINIMUM TURNDOWN: 15:1</v>
      </c>
      <c r="D12" s="212"/>
      <c r="E12" s="212"/>
      <c r="F12" s="194"/>
      <c r="G12" s="221"/>
      <c r="H12" s="221"/>
      <c r="I12" s="221"/>
      <c r="J12" s="221"/>
      <c r="K12" s="212"/>
      <c r="L12" s="212"/>
      <c r="M12" s="212"/>
      <c r="N12" s="212" t="s">
        <v>329</v>
      </c>
      <c r="O12" s="212"/>
      <c r="P12" s="212"/>
      <c r="Q12" s="212"/>
      <c r="R12" s="212"/>
      <c r="S12" s="212"/>
      <c r="T12" s="212"/>
      <c r="U12" s="212"/>
      <c r="V12" s="212"/>
      <c r="W12" s="212"/>
      <c r="X12" s="212"/>
      <c r="Y12" s="212"/>
      <c r="Z12" s="222"/>
      <c r="AA12" s="222"/>
      <c r="AB12" s="223"/>
      <c r="AC12" s="84"/>
    </row>
    <row r="13" spans="2:29" ht="16.5" customHeight="1">
      <c r="B13" s="83"/>
      <c r="C13" s="214" t="s">
        <v>104</v>
      </c>
      <c r="D13" s="212"/>
      <c r="E13" s="212"/>
      <c r="F13" s="212"/>
      <c r="G13" s="221"/>
      <c r="H13" s="221"/>
      <c r="I13" s="221"/>
      <c r="J13" s="221"/>
      <c r="K13" s="212"/>
      <c r="L13" s="212"/>
      <c r="M13" s="212"/>
      <c r="N13" s="212"/>
      <c r="O13" s="212"/>
      <c r="P13" s="212"/>
      <c r="Q13" s="212" t="s">
        <v>333</v>
      </c>
      <c r="R13" s="212"/>
      <c r="S13" s="212"/>
      <c r="T13" s="216" t="s">
        <v>336</v>
      </c>
      <c r="U13" s="216"/>
      <c r="V13" s="216"/>
      <c r="W13" s="212" t="s">
        <v>339</v>
      </c>
      <c r="X13" s="212"/>
      <c r="Y13" s="212"/>
      <c r="Z13" s="222"/>
      <c r="AA13" s="222"/>
      <c r="AB13" s="223"/>
      <c r="AC13" s="84"/>
    </row>
    <row r="14" spans="2:29" ht="16.5" customHeight="1">
      <c r="B14" s="83"/>
      <c r="C14" s="214" t="s">
        <v>105</v>
      </c>
      <c r="D14" s="215"/>
      <c r="E14" s="215"/>
      <c r="F14" s="182"/>
      <c r="G14" s="221"/>
      <c r="H14" s="221"/>
      <c r="I14" s="221"/>
      <c r="J14" s="221"/>
      <c r="K14" s="212" t="s">
        <v>326</v>
      </c>
      <c r="L14" s="212"/>
      <c r="M14" s="212"/>
      <c r="N14" s="212" t="s">
        <v>330</v>
      </c>
      <c r="O14" s="212"/>
      <c r="P14" s="212"/>
      <c r="Q14" s="212"/>
      <c r="R14" s="212"/>
      <c r="S14" s="212"/>
      <c r="T14" s="216"/>
      <c r="U14" s="216"/>
      <c r="V14" s="216"/>
      <c r="W14" s="212"/>
      <c r="X14" s="212"/>
      <c r="Y14" s="212"/>
      <c r="Z14" s="200"/>
      <c r="AA14" s="200"/>
      <c r="AB14" s="68"/>
      <c r="AC14" s="84"/>
    </row>
    <row r="15" spans="2:29" ht="16.5" customHeight="1">
      <c r="B15" s="83"/>
      <c r="C15" s="214" t="s">
        <v>106</v>
      </c>
      <c r="D15" s="212"/>
      <c r="E15" s="212"/>
      <c r="F15" s="195"/>
      <c r="G15" s="212" t="s">
        <v>324</v>
      </c>
      <c r="H15" s="212"/>
      <c r="I15" s="212"/>
      <c r="J15" s="212"/>
      <c r="K15" s="212" t="s">
        <v>327</v>
      </c>
      <c r="L15" s="212"/>
      <c r="M15" s="212"/>
      <c r="N15" s="212"/>
      <c r="O15" s="212"/>
      <c r="P15" s="212"/>
      <c r="Q15" s="216" t="s">
        <v>334</v>
      </c>
      <c r="R15" s="216"/>
      <c r="S15" s="216"/>
      <c r="T15" s="216" t="s">
        <v>337</v>
      </c>
      <c r="U15" s="216"/>
      <c r="V15" s="216"/>
      <c r="W15" s="212" t="s">
        <v>340</v>
      </c>
      <c r="X15" s="212"/>
      <c r="Y15" s="212"/>
      <c r="Z15" s="200"/>
      <c r="AA15" s="200"/>
      <c r="AB15" s="68"/>
      <c r="AC15" s="84"/>
    </row>
    <row r="16" spans="2:29" ht="16.5" customHeight="1">
      <c r="B16" s="83"/>
      <c r="C16" s="214" t="s">
        <v>322</v>
      </c>
      <c r="D16" s="212"/>
      <c r="E16" s="212"/>
      <c r="F16" s="194"/>
      <c r="G16" s="212"/>
      <c r="H16" s="212"/>
      <c r="I16" s="212"/>
      <c r="J16" s="212"/>
      <c r="K16" s="212"/>
      <c r="L16" s="212"/>
      <c r="M16" s="212"/>
      <c r="N16" s="212" t="s">
        <v>331</v>
      </c>
      <c r="O16" s="212"/>
      <c r="P16" s="212"/>
      <c r="Q16" s="216"/>
      <c r="R16" s="216"/>
      <c r="S16" s="216"/>
      <c r="T16" s="216"/>
      <c r="U16" s="216"/>
      <c r="V16" s="216"/>
      <c r="W16" s="212"/>
      <c r="X16" s="212"/>
      <c r="Y16" s="212"/>
      <c r="Z16" s="200"/>
      <c r="AA16" s="200"/>
      <c r="AB16" s="68"/>
      <c r="AC16" s="84"/>
    </row>
    <row r="17" spans="2:34" ht="16.5" customHeight="1" thickBot="1">
      <c r="B17" s="83"/>
      <c r="C17" s="217"/>
      <c r="D17" s="213"/>
      <c r="E17" s="213"/>
      <c r="F17" s="178"/>
      <c r="G17" s="178"/>
      <c r="H17" s="178"/>
      <c r="I17" s="178"/>
      <c r="J17" s="178"/>
      <c r="K17" s="178"/>
      <c r="L17" s="178"/>
      <c r="M17" s="178"/>
      <c r="N17" s="213"/>
      <c r="O17" s="213"/>
      <c r="P17" s="213"/>
      <c r="Q17" s="178"/>
      <c r="R17" s="178"/>
      <c r="S17" s="178"/>
      <c r="T17" s="178"/>
      <c r="U17" s="178"/>
      <c r="V17" s="178"/>
      <c r="W17" s="213"/>
      <c r="X17" s="213"/>
      <c r="Y17" s="213"/>
      <c r="Z17" s="201"/>
      <c r="AA17" s="201"/>
      <c r="AB17" s="69"/>
      <c r="AC17" s="84"/>
    </row>
    <row r="18" spans="2:34" ht="16.5" customHeight="1">
      <c r="B18" s="83"/>
      <c r="C18" s="34"/>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84"/>
    </row>
    <row r="19" spans="2:34" ht="16.5" customHeight="1">
      <c r="B19" s="83"/>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84"/>
    </row>
    <row r="20" spans="2:34">
      <c r="B20" s="8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84"/>
    </row>
    <row r="21" spans="2:34">
      <c r="B21" s="83"/>
      <c r="C21" s="208" t="s">
        <v>137</v>
      </c>
      <c r="D21" s="209"/>
      <c r="E21" s="209"/>
      <c r="F21" s="209"/>
      <c r="G21" s="209"/>
      <c r="H21" s="209"/>
      <c r="I21" s="209"/>
      <c r="J21" s="209"/>
      <c r="K21" s="209"/>
      <c r="L21" s="209"/>
      <c r="M21" s="209"/>
      <c r="N21" s="209"/>
      <c r="O21" s="209"/>
      <c r="P21" s="210"/>
      <c r="Q21" s="208" t="s">
        <v>93</v>
      </c>
      <c r="R21" s="211"/>
      <c r="S21" s="211"/>
      <c r="T21" s="211"/>
      <c r="U21" s="211"/>
      <c r="V21" s="211"/>
      <c r="W21" s="211"/>
      <c r="X21" s="211"/>
      <c r="Y21" s="28"/>
      <c r="Z21" s="28"/>
      <c r="AA21" s="28"/>
      <c r="AB21" s="28"/>
      <c r="AC21" s="84"/>
    </row>
    <row r="22" spans="2:34">
      <c r="B22" s="83"/>
      <c r="C22" s="209"/>
      <c r="D22" s="209"/>
      <c r="E22" s="209"/>
      <c r="F22" s="209"/>
      <c r="G22" s="209"/>
      <c r="H22" s="209"/>
      <c r="I22" s="209"/>
      <c r="J22" s="209"/>
      <c r="K22" s="209"/>
      <c r="L22" s="209"/>
      <c r="M22" s="209"/>
      <c r="N22" s="209"/>
      <c r="O22" s="209"/>
      <c r="P22" s="210"/>
      <c r="Q22" s="203"/>
      <c r="R22" s="199"/>
      <c r="S22" s="199"/>
      <c r="T22" s="199"/>
      <c r="U22" s="199"/>
      <c r="V22" s="199"/>
      <c r="W22" s="199"/>
      <c r="X22" s="199"/>
      <c r="Y22" s="28"/>
      <c r="Z22" s="28"/>
      <c r="AA22" s="28"/>
      <c r="AB22" s="28"/>
      <c r="AC22" s="84"/>
    </row>
    <row r="23" spans="2:34">
      <c r="B23" s="83"/>
      <c r="C23" s="209"/>
      <c r="D23" s="209"/>
      <c r="E23" s="209"/>
      <c r="F23" s="209"/>
      <c r="G23" s="209"/>
      <c r="H23" s="209"/>
      <c r="I23" s="209"/>
      <c r="J23" s="209"/>
      <c r="K23" s="209"/>
      <c r="L23" s="209"/>
      <c r="M23" s="209"/>
      <c r="N23" s="209"/>
      <c r="O23" s="209"/>
      <c r="P23" s="210"/>
      <c r="Q23" s="203" t="s">
        <v>86</v>
      </c>
      <c r="R23" s="199"/>
      <c r="S23" s="199"/>
      <c r="T23" s="199"/>
      <c r="U23" s="199"/>
      <c r="V23" s="199"/>
      <c r="W23" s="199"/>
      <c r="X23" s="199"/>
      <c r="Y23" s="28"/>
      <c r="Z23" s="28"/>
      <c r="AA23" s="28"/>
      <c r="AB23" s="28"/>
      <c r="AC23" s="84"/>
    </row>
    <row r="24" spans="2:34">
      <c r="B24" s="83"/>
      <c r="C24" s="209"/>
      <c r="D24" s="209"/>
      <c r="E24" s="209"/>
      <c r="F24" s="209"/>
      <c r="G24" s="209"/>
      <c r="H24" s="209"/>
      <c r="I24" s="209"/>
      <c r="J24" s="209"/>
      <c r="K24" s="209"/>
      <c r="L24" s="209"/>
      <c r="M24" s="209"/>
      <c r="N24" s="209"/>
      <c r="O24" s="209"/>
      <c r="P24" s="210"/>
      <c r="Q24" s="203" t="s">
        <v>87</v>
      </c>
      <c r="R24" s="199"/>
      <c r="S24" s="199"/>
      <c r="T24" s="199"/>
      <c r="U24" s="199"/>
      <c r="V24" s="199"/>
      <c r="W24" s="199"/>
      <c r="X24" s="199"/>
      <c r="Y24" s="28"/>
      <c r="Z24" s="28"/>
      <c r="AA24" s="28"/>
      <c r="AB24" s="28"/>
      <c r="AC24" s="84"/>
    </row>
    <row r="25" spans="2:34">
      <c r="B25" s="83"/>
      <c r="C25" s="209"/>
      <c r="D25" s="209"/>
      <c r="E25" s="209"/>
      <c r="F25" s="209"/>
      <c r="G25" s="209"/>
      <c r="H25" s="209"/>
      <c r="I25" s="209"/>
      <c r="J25" s="209"/>
      <c r="K25" s="209"/>
      <c r="L25" s="209"/>
      <c r="M25" s="209"/>
      <c r="N25" s="209"/>
      <c r="O25" s="209"/>
      <c r="P25" s="210"/>
      <c r="Q25" s="203" t="s">
        <v>88</v>
      </c>
      <c r="R25" s="199"/>
      <c r="S25" s="199"/>
      <c r="T25" s="199"/>
      <c r="U25" s="199"/>
      <c r="V25" s="199"/>
      <c r="W25" s="199"/>
      <c r="X25" s="199"/>
      <c r="Y25" s="28"/>
      <c r="Z25" s="28"/>
      <c r="AA25" s="28"/>
      <c r="AB25" s="28"/>
      <c r="AC25" s="84"/>
    </row>
    <row r="26" spans="2:34">
      <c r="B26" s="83"/>
      <c r="C26" s="209"/>
      <c r="D26" s="209"/>
      <c r="E26" s="209"/>
      <c r="F26" s="209"/>
      <c r="G26" s="209"/>
      <c r="H26" s="209"/>
      <c r="I26" s="209"/>
      <c r="J26" s="209"/>
      <c r="K26" s="209"/>
      <c r="L26" s="209"/>
      <c r="M26" s="209"/>
      <c r="N26" s="209"/>
      <c r="O26" s="209"/>
      <c r="P26" s="210"/>
      <c r="Q26" s="203"/>
      <c r="R26" s="199"/>
      <c r="S26" s="199"/>
      <c r="T26" s="199"/>
      <c r="U26" s="199"/>
      <c r="V26" s="199"/>
      <c r="W26" s="199"/>
      <c r="X26" s="199"/>
      <c r="Y26" s="28"/>
      <c r="Z26" s="28"/>
      <c r="AA26" s="28"/>
      <c r="AB26" s="28"/>
      <c r="AC26" s="84"/>
    </row>
    <row r="27" spans="2:34">
      <c r="B27" s="83"/>
      <c r="C27" s="209"/>
      <c r="D27" s="209"/>
      <c r="E27" s="209"/>
      <c r="F27" s="209"/>
      <c r="G27" s="209"/>
      <c r="H27" s="209"/>
      <c r="I27" s="209"/>
      <c r="J27" s="209"/>
      <c r="K27" s="209"/>
      <c r="L27" s="209"/>
      <c r="M27" s="209"/>
      <c r="N27" s="209"/>
      <c r="O27" s="209"/>
      <c r="P27" s="210"/>
      <c r="Q27" s="26"/>
      <c r="R27" s="27"/>
      <c r="S27" s="27"/>
      <c r="T27" s="27"/>
      <c r="U27" s="27"/>
      <c r="V27" s="27"/>
      <c r="W27" s="27"/>
      <c r="X27" s="27"/>
      <c r="Y27" s="36"/>
      <c r="Z27" s="36"/>
      <c r="AA27" s="36"/>
      <c r="AB27" s="36"/>
      <c r="AC27" s="84"/>
    </row>
    <row r="28" spans="2:34">
      <c r="B28" s="83"/>
      <c r="C28" s="209"/>
      <c r="D28" s="209"/>
      <c r="E28" s="209"/>
      <c r="F28" s="209"/>
      <c r="G28" s="209"/>
      <c r="H28" s="209"/>
      <c r="I28" s="209"/>
      <c r="J28" s="209"/>
      <c r="K28" s="209"/>
      <c r="L28" s="209"/>
      <c r="M28" s="209"/>
      <c r="N28" s="209"/>
      <c r="O28" s="209"/>
      <c r="P28" s="210"/>
      <c r="Q28" s="204" t="s">
        <v>89</v>
      </c>
      <c r="R28" s="205"/>
      <c r="S28" s="124">
        <v>40</v>
      </c>
      <c r="T28" s="205" t="s">
        <v>91</v>
      </c>
      <c r="U28" s="205"/>
      <c r="V28" s="205"/>
      <c r="W28" s="199"/>
      <c r="X28" s="199"/>
      <c r="Y28" s="28"/>
      <c r="Z28" s="28"/>
      <c r="AA28" s="28"/>
      <c r="AB28" s="28"/>
      <c r="AC28" s="84"/>
    </row>
    <row r="29" spans="2:34">
      <c r="B29" s="83"/>
      <c r="C29" s="202"/>
      <c r="D29" s="202"/>
      <c r="E29" s="197"/>
      <c r="F29" s="197"/>
      <c r="G29" s="197"/>
      <c r="H29" s="197"/>
      <c r="I29" s="197"/>
      <c r="J29" s="197"/>
      <c r="K29" s="197"/>
      <c r="L29" s="197"/>
      <c r="M29" s="197"/>
      <c r="N29" s="197"/>
      <c r="O29" s="197"/>
      <c r="P29" s="34"/>
      <c r="Q29" s="204" t="s">
        <v>90</v>
      </c>
      <c r="R29" s="205"/>
      <c r="S29" s="206" t="str">
        <f>INDEX(RVpressure,MATCH(1,RV_BMKPEDGE,0))&amp;" PSI"</f>
        <v>50 PSI</v>
      </c>
      <c r="T29" s="205"/>
      <c r="U29" s="138">
        <f>IF(S28*120%&lt;=S28+15,S28+15,S28*120%)</f>
        <v>55</v>
      </c>
      <c r="V29" s="196"/>
      <c r="W29" s="199"/>
      <c r="X29" s="199"/>
      <c r="Y29" s="28"/>
      <c r="Z29" s="28"/>
      <c r="AA29" s="28"/>
      <c r="AB29" s="28"/>
      <c r="AC29" s="84"/>
    </row>
    <row r="30" spans="2:34">
      <c r="B30" s="83"/>
      <c r="C30" s="202"/>
      <c r="D30" s="202"/>
      <c r="E30" s="197"/>
      <c r="F30" s="197"/>
      <c r="G30" s="197"/>
      <c r="H30" s="197"/>
      <c r="I30" s="197"/>
      <c r="J30" s="197"/>
      <c r="K30" s="197"/>
      <c r="L30" s="197"/>
      <c r="M30" s="197"/>
      <c r="N30" s="197"/>
      <c r="O30" s="197"/>
      <c r="P30" s="34"/>
      <c r="Q30" s="199"/>
      <c r="R30" s="203"/>
      <c r="S30" s="203"/>
      <c r="T30" s="203"/>
      <c r="U30" s="203"/>
      <c r="V30" s="203"/>
      <c r="W30" s="203"/>
      <c r="X30" s="203"/>
      <c r="Y30" s="37"/>
      <c r="Z30" s="37"/>
      <c r="AA30" s="37"/>
      <c r="AB30" s="37"/>
      <c r="AC30" s="84"/>
    </row>
    <row r="31" spans="2:34">
      <c r="B31" s="83"/>
      <c r="C31" s="207"/>
      <c r="D31" s="207"/>
      <c r="E31" s="203"/>
      <c r="F31" s="203"/>
      <c r="G31" s="203"/>
      <c r="H31" s="203"/>
      <c r="I31" s="203"/>
      <c r="J31" s="203"/>
      <c r="K31" s="203"/>
      <c r="L31" s="203"/>
      <c r="M31" s="203"/>
      <c r="N31" s="203"/>
      <c r="O31" s="203"/>
      <c r="P31" s="34"/>
      <c r="Q31" s="203"/>
      <c r="R31" s="203"/>
      <c r="S31" s="203"/>
      <c r="T31" s="203"/>
      <c r="U31" s="203"/>
      <c r="V31" s="203"/>
      <c r="W31" s="203"/>
      <c r="X31" s="203"/>
      <c r="Y31" s="37"/>
      <c r="Z31" s="37"/>
      <c r="AA31" s="37"/>
      <c r="AB31" s="37"/>
      <c r="AC31" s="84"/>
    </row>
    <row r="32" spans="2:34" ht="16" thickBot="1">
      <c r="B32" s="85"/>
      <c r="C32" s="86"/>
      <c r="D32" s="86"/>
      <c r="E32" s="87"/>
      <c r="F32" s="87"/>
      <c r="G32" s="87"/>
      <c r="H32" s="87"/>
      <c r="I32" s="87"/>
      <c r="J32" s="87"/>
      <c r="K32" s="87"/>
      <c r="L32" s="87"/>
      <c r="M32" s="87"/>
      <c r="N32" s="87"/>
      <c r="O32" s="87"/>
      <c r="P32" s="86"/>
      <c r="Q32" s="88"/>
      <c r="R32" s="88"/>
      <c r="S32" s="88"/>
      <c r="T32" s="88"/>
      <c r="U32" s="88"/>
      <c r="V32" s="88"/>
      <c r="W32" s="88"/>
      <c r="X32" s="88"/>
      <c r="Y32" s="89"/>
      <c r="Z32" s="89"/>
      <c r="AA32" s="89"/>
      <c r="AB32" s="89"/>
      <c r="AC32" s="91"/>
      <c r="AD32" s="198"/>
      <c r="AE32" s="198"/>
      <c r="AF32" s="198"/>
      <c r="AG32" s="198"/>
      <c r="AH32" s="198"/>
    </row>
    <row r="33" spans="2:34">
      <c r="B33" s="198"/>
      <c r="C33" s="54"/>
      <c r="D33" s="54"/>
      <c r="E33" s="54"/>
      <c r="F33" s="54"/>
      <c r="G33" s="54"/>
      <c r="H33" s="54"/>
      <c r="I33" s="25"/>
      <c r="J33" s="25"/>
      <c r="K33" s="25"/>
      <c r="L33" s="25"/>
      <c r="M33" s="25"/>
      <c r="N33" s="25"/>
      <c r="O33" s="25"/>
      <c r="P33" s="198"/>
      <c r="Q33" s="199"/>
      <c r="R33" s="199"/>
      <c r="S33" s="199"/>
      <c r="T33" s="199"/>
      <c r="U33" s="199"/>
      <c r="V33" s="199"/>
      <c r="W33" s="199"/>
      <c r="X33" s="199"/>
      <c r="Y33" s="28"/>
      <c r="Z33" s="28"/>
      <c r="AA33" s="28"/>
      <c r="AB33" s="28"/>
      <c r="AC33" s="198"/>
      <c r="AD33" s="198"/>
      <c r="AE33" s="198"/>
      <c r="AF33" s="198"/>
      <c r="AG33" s="198"/>
      <c r="AH33" s="198"/>
    </row>
    <row r="34" spans="2:34" ht="16" customHeight="1">
      <c r="B34" s="198"/>
      <c r="C34" s="54"/>
      <c r="D34" s="54"/>
      <c r="E34" s="54"/>
      <c r="F34" s="54"/>
      <c r="L34" s="29"/>
      <c r="M34" s="30"/>
      <c r="N34" s="30"/>
      <c r="O34" s="198"/>
      <c r="P34" s="198"/>
      <c r="Q34" s="198"/>
      <c r="R34" s="198"/>
      <c r="S34" s="198"/>
      <c r="T34" s="198"/>
      <c r="U34" s="198"/>
      <c r="V34" s="198"/>
      <c r="W34" s="198"/>
      <c r="X34" s="198"/>
      <c r="Y34" s="198"/>
      <c r="Z34" s="198"/>
      <c r="AA34" s="198"/>
      <c r="AB34" s="198"/>
      <c r="AC34" s="198"/>
      <c r="AD34" s="198"/>
      <c r="AE34" s="198"/>
      <c r="AF34" s="198"/>
      <c r="AG34" s="198"/>
      <c r="AH34" s="198"/>
    </row>
    <row r="35" spans="2:34">
      <c r="B35" s="198"/>
      <c r="C35" s="54"/>
      <c r="D35" s="54"/>
      <c r="E35" s="198"/>
      <c r="F35" s="198"/>
      <c r="G35" s="56"/>
      <c r="H35" s="56"/>
      <c r="I35" s="56"/>
      <c r="J35" s="56"/>
      <c r="K35" s="34"/>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row>
    <row r="36" spans="2:34">
      <c r="B36" s="198"/>
      <c r="C36" s="54"/>
      <c r="D36" s="54"/>
      <c r="E36" s="54"/>
      <c r="F36" s="54"/>
      <c r="G36" s="54"/>
      <c r="H36" s="54"/>
      <c r="I36" s="34"/>
      <c r="J36" s="34"/>
      <c r="K36" s="34"/>
      <c r="L36" s="54"/>
      <c r="M36" s="54"/>
      <c r="N36" s="34"/>
      <c r="O36" s="34"/>
      <c r="P36" s="34"/>
      <c r="Q36" s="198"/>
      <c r="R36" s="34"/>
      <c r="S36" s="34"/>
      <c r="T36" s="34"/>
      <c r="U36" s="198"/>
      <c r="V36" s="198"/>
      <c r="W36" s="198"/>
      <c r="X36" s="198"/>
      <c r="Y36" s="198"/>
      <c r="Z36" s="198"/>
      <c r="AA36" s="198"/>
      <c r="AB36" s="198"/>
      <c r="AC36" s="198"/>
      <c r="AD36" s="198"/>
      <c r="AE36" s="198"/>
      <c r="AF36" s="198"/>
      <c r="AG36" s="198"/>
      <c r="AH36" s="198"/>
    </row>
    <row r="37" spans="2:34">
      <c r="B37" s="198"/>
      <c r="C37" s="54"/>
      <c r="D37" s="54"/>
      <c r="E37" s="54"/>
      <c r="F37" s="54"/>
      <c r="G37" s="54"/>
      <c r="H37" s="54"/>
      <c r="I37" s="34"/>
      <c r="J37" s="34"/>
      <c r="K37" s="34"/>
      <c r="L37" s="54"/>
      <c r="M37" s="54"/>
      <c r="N37" s="34"/>
      <c r="O37" s="34"/>
      <c r="P37" s="34"/>
      <c r="Q37" s="54"/>
      <c r="R37" s="34"/>
      <c r="S37" s="34"/>
      <c r="T37" s="34"/>
      <c r="U37" s="54"/>
      <c r="V37" s="24"/>
      <c r="W37" s="24"/>
      <c r="X37" s="54"/>
      <c r="Y37" s="54"/>
      <c r="Z37" s="54"/>
      <c r="AA37" s="54"/>
      <c r="AB37" s="54"/>
      <c r="AC37" s="198"/>
      <c r="AD37" s="198"/>
      <c r="AE37" s="198"/>
      <c r="AF37" s="198"/>
      <c r="AG37" s="198"/>
      <c r="AH37" s="198"/>
    </row>
    <row r="38" spans="2:34">
      <c r="B38" s="198"/>
      <c r="C38" s="54"/>
      <c r="D38" s="198"/>
      <c r="E38" s="198"/>
      <c r="F38" s="198"/>
      <c r="G38" s="24"/>
      <c r="H38" s="24"/>
      <c r="I38" s="24"/>
      <c r="J38" s="24"/>
      <c r="K38" s="54"/>
      <c r="L38" s="54"/>
      <c r="M38" s="54"/>
      <c r="N38" s="30"/>
      <c r="O38" s="54"/>
      <c r="P38" s="54"/>
      <c r="Q38" s="54"/>
      <c r="R38" s="54"/>
      <c r="S38" s="24"/>
      <c r="T38" s="24"/>
      <c r="U38" s="24"/>
      <c r="V38" s="24"/>
      <c r="W38" s="24"/>
      <c r="X38" s="54"/>
      <c r="Y38" s="54"/>
      <c r="Z38" s="54"/>
      <c r="AA38" s="54"/>
      <c r="AB38" s="54"/>
      <c r="AC38" s="198"/>
      <c r="AD38" s="198"/>
      <c r="AE38" s="198"/>
      <c r="AF38" s="198"/>
      <c r="AG38" s="198"/>
      <c r="AH38" s="198"/>
    </row>
    <row r="39" spans="2:34">
      <c r="B39" s="198"/>
      <c r="C39" s="31"/>
      <c r="D39" s="24"/>
      <c r="E39" s="24"/>
      <c r="F39" s="24"/>
      <c r="G39" s="198"/>
      <c r="H39" s="198"/>
      <c r="I39" s="198"/>
      <c r="J39" s="198"/>
      <c r="K39" s="198"/>
      <c r="L39" s="198"/>
      <c r="M39" s="198"/>
      <c r="N39" s="198"/>
      <c r="O39" s="54"/>
      <c r="P39" s="54"/>
      <c r="Q39" s="54"/>
      <c r="R39" s="24"/>
      <c r="S39" s="24"/>
      <c r="T39" s="24"/>
      <c r="U39" s="24"/>
      <c r="V39" s="24"/>
      <c r="W39" s="24"/>
      <c r="X39" s="54"/>
      <c r="Y39" s="54"/>
      <c r="Z39" s="54"/>
      <c r="AA39" s="54"/>
      <c r="AB39" s="54"/>
      <c r="AC39" s="198"/>
      <c r="AD39" s="198"/>
      <c r="AE39" s="198"/>
      <c r="AF39" s="198"/>
      <c r="AG39" s="198"/>
      <c r="AH39" s="198"/>
    </row>
    <row r="40" spans="2:34">
      <c r="B40" s="198"/>
      <c r="C40" s="24"/>
      <c r="D40" s="24"/>
      <c r="E40" s="24"/>
      <c r="F40" s="24"/>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row>
    <row r="41" spans="2:34">
      <c r="B41" s="198"/>
      <c r="C41" s="24"/>
      <c r="D41" s="24"/>
      <c r="E41" s="56"/>
      <c r="F41" s="56"/>
      <c r="G41" s="57"/>
      <c r="H41" s="57"/>
      <c r="I41" s="57"/>
      <c r="J41" s="55"/>
      <c r="K41" s="55"/>
      <c r="L41" s="55"/>
      <c r="M41" s="56"/>
      <c r="N41" s="56"/>
      <c r="O41" s="56"/>
      <c r="P41" s="58"/>
      <c r="Q41" s="58"/>
      <c r="R41" s="58"/>
      <c r="S41" s="56"/>
      <c r="T41" s="56"/>
      <c r="U41" s="56"/>
      <c r="V41" s="56"/>
      <c r="W41" s="56"/>
      <c r="X41" s="56"/>
      <c r="Y41" s="56"/>
      <c r="Z41" s="56"/>
      <c r="AA41" s="56"/>
      <c r="AB41" s="56"/>
      <c r="AC41" s="198"/>
      <c r="AD41" s="198"/>
      <c r="AE41" s="198"/>
      <c r="AF41" s="198"/>
      <c r="AG41" s="198"/>
      <c r="AH41" s="198"/>
    </row>
    <row r="42" spans="2:34">
      <c r="B42" s="198"/>
      <c r="C42" s="198"/>
      <c r="D42" s="198"/>
      <c r="E42" s="58"/>
      <c r="F42" s="58"/>
      <c r="G42" s="58"/>
      <c r="H42" s="58"/>
      <c r="I42" s="58"/>
      <c r="J42" s="56"/>
      <c r="K42" s="56"/>
      <c r="L42" s="56"/>
      <c r="M42" s="56"/>
      <c r="N42" s="56"/>
      <c r="O42" s="56"/>
      <c r="P42" s="58"/>
      <c r="Q42" s="58"/>
      <c r="R42" s="58"/>
      <c r="S42" s="56"/>
      <c r="T42" s="56"/>
      <c r="U42" s="56"/>
      <c r="V42" s="56"/>
      <c r="W42" s="56"/>
      <c r="X42" s="56"/>
      <c r="Y42" s="56"/>
      <c r="Z42" s="56"/>
      <c r="AA42" s="56"/>
      <c r="AB42" s="56"/>
      <c r="AC42" s="198"/>
      <c r="AD42" s="198"/>
      <c r="AE42" s="198"/>
      <c r="AF42" s="198"/>
      <c r="AG42" s="198"/>
      <c r="AH42" s="198"/>
    </row>
    <row r="43" spans="2:34">
      <c r="B43" s="198"/>
      <c r="C43" s="29"/>
      <c r="D43" s="30"/>
      <c r="E43" s="56"/>
      <c r="F43" s="56"/>
      <c r="G43" s="56"/>
      <c r="H43" s="56"/>
      <c r="I43" s="56"/>
      <c r="J43" s="56"/>
      <c r="K43" s="56"/>
      <c r="L43" s="56"/>
      <c r="M43" s="56"/>
      <c r="N43" s="56"/>
      <c r="O43" s="56"/>
      <c r="P43" s="56"/>
      <c r="Q43" s="56"/>
      <c r="R43" s="56"/>
      <c r="S43" s="56"/>
      <c r="T43" s="56"/>
      <c r="U43" s="56"/>
      <c r="V43" s="56"/>
      <c r="W43" s="56"/>
      <c r="X43" s="56"/>
      <c r="Y43" s="56"/>
      <c r="Z43" s="56"/>
      <c r="AA43" s="56"/>
      <c r="AB43" s="56"/>
      <c r="AC43" s="198"/>
      <c r="AD43" s="198"/>
      <c r="AE43" s="198"/>
      <c r="AF43" s="198"/>
      <c r="AG43" s="198"/>
      <c r="AH43" s="198"/>
    </row>
    <row r="44" spans="2:34">
      <c r="B44" s="198"/>
      <c r="C44" s="198"/>
      <c r="D44" s="198"/>
      <c r="E44" s="56"/>
      <c r="F44" s="56"/>
      <c r="G44" s="56"/>
      <c r="H44" s="56"/>
      <c r="I44" s="56"/>
      <c r="J44" s="56"/>
      <c r="K44" s="56"/>
      <c r="L44" s="56"/>
      <c r="M44" s="56"/>
      <c r="N44" s="56"/>
      <c r="O44" s="56"/>
      <c r="P44" s="56"/>
      <c r="Q44" s="56"/>
      <c r="R44" s="56"/>
      <c r="S44" s="56"/>
      <c r="T44" s="56"/>
      <c r="U44" s="56"/>
      <c r="V44" s="56"/>
      <c r="W44" s="56"/>
      <c r="X44" s="56"/>
      <c r="Y44" s="56"/>
      <c r="Z44" s="56"/>
      <c r="AA44" s="56"/>
      <c r="AB44" s="56"/>
      <c r="AC44" s="198"/>
      <c r="AD44" s="198"/>
      <c r="AE44" s="198"/>
      <c r="AF44" s="198"/>
      <c r="AG44" s="198"/>
      <c r="AH44" s="198"/>
    </row>
    <row r="45" spans="2:34">
      <c r="B45" s="198"/>
      <c r="C45" s="29"/>
      <c r="D45" s="30"/>
      <c r="E45" s="30"/>
      <c r="F45" s="30"/>
      <c r="G45" s="198"/>
      <c r="H45" s="198"/>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row>
    <row r="46" spans="2:34">
      <c r="B46" s="198"/>
      <c r="C46" s="198"/>
      <c r="D46" s="198"/>
      <c r="E46" s="198"/>
      <c r="F46" s="198"/>
      <c r="G46" s="198"/>
      <c r="H46" s="198"/>
      <c r="I46" s="198"/>
      <c r="J46" s="198"/>
      <c r="K46" s="198"/>
      <c r="L46" s="198"/>
      <c r="M46" s="198"/>
      <c r="N46" s="198"/>
      <c r="O46" s="198"/>
      <c r="P46" s="198"/>
      <c r="Q46" s="198"/>
      <c r="R46" s="198"/>
      <c r="S46" s="198"/>
      <c r="T46" s="198"/>
      <c r="U46" s="198"/>
      <c r="V46" s="198"/>
      <c r="W46" s="198"/>
      <c r="X46" s="198"/>
      <c r="Y46" s="198"/>
      <c r="Z46" s="198"/>
      <c r="AA46" s="198"/>
      <c r="AB46" s="198"/>
      <c r="AC46" s="198"/>
      <c r="AD46" s="198"/>
      <c r="AE46" s="198"/>
      <c r="AF46" s="198"/>
      <c r="AG46" s="198"/>
      <c r="AH46" s="198"/>
    </row>
    <row r="47" spans="2:34">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row>
    <row r="48" spans="2:34">
      <c r="B48" s="198"/>
      <c r="C48" s="54"/>
      <c r="D48" s="24"/>
      <c r="E48" s="24"/>
      <c r="F48" s="24"/>
      <c r="G48" s="54"/>
      <c r="H48" s="54"/>
      <c r="I48" s="54"/>
      <c r="J48" s="54"/>
      <c r="K48" s="54"/>
      <c r="L48" s="54"/>
      <c r="M48" s="24"/>
      <c r="N48" s="24"/>
      <c r="O48" s="24"/>
      <c r="P48" s="54"/>
      <c r="Q48" s="24"/>
      <c r="R48" s="24"/>
      <c r="S48" s="24"/>
      <c r="T48" s="198"/>
      <c r="U48" s="198"/>
      <c r="V48" s="198"/>
      <c r="W48" s="198"/>
      <c r="X48" s="198"/>
      <c r="Y48" s="198"/>
      <c r="Z48" s="198"/>
      <c r="AA48" s="198"/>
      <c r="AB48" s="198"/>
      <c r="AC48" s="198"/>
      <c r="AD48" s="198"/>
      <c r="AE48" s="198"/>
      <c r="AF48" s="198"/>
      <c r="AG48" s="198"/>
      <c r="AH48" s="198"/>
    </row>
    <row r="49" spans="2:34">
      <c r="B49" s="198"/>
      <c r="C49" s="54"/>
      <c r="D49" s="24"/>
      <c r="E49" s="24"/>
      <c r="F49" s="24"/>
      <c r="G49" s="54"/>
      <c r="H49" s="54"/>
      <c r="I49" s="54"/>
      <c r="J49" s="54"/>
      <c r="K49" s="54"/>
      <c r="L49" s="54"/>
      <c r="M49" s="24"/>
      <c r="N49" s="24"/>
      <c r="O49" s="24"/>
      <c r="P49" s="24"/>
      <c r="Q49" s="24"/>
      <c r="R49" s="24"/>
      <c r="S49" s="24"/>
      <c r="T49" s="198"/>
      <c r="U49" s="198"/>
      <c r="V49" s="198"/>
      <c r="W49" s="198"/>
      <c r="X49" s="198"/>
      <c r="Y49" s="198"/>
      <c r="Z49" s="198"/>
      <c r="AA49" s="198"/>
      <c r="AB49" s="198"/>
      <c r="AC49" s="198"/>
      <c r="AD49" s="198"/>
      <c r="AE49" s="198"/>
      <c r="AF49" s="198"/>
      <c r="AG49" s="198"/>
      <c r="AH49" s="198"/>
    </row>
    <row r="50" spans="2:34">
      <c r="B50" s="198"/>
      <c r="C50" s="54"/>
      <c r="D50" s="24"/>
      <c r="E50" s="24"/>
      <c r="F50" s="24"/>
      <c r="G50" s="54"/>
      <c r="H50" s="54"/>
      <c r="I50" s="54"/>
      <c r="J50" s="54"/>
      <c r="K50" s="54"/>
      <c r="L50" s="54"/>
      <c r="M50" s="24"/>
      <c r="N50" s="24"/>
      <c r="O50" s="24"/>
      <c r="P50" s="24"/>
      <c r="Q50" s="24"/>
      <c r="R50" s="24"/>
      <c r="S50" s="24"/>
      <c r="T50" s="198"/>
      <c r="U50" s="198"/>
      <c r="V50" s="198"/>
      <c r="W50" s="198"/>
      <c r="X50" s="198"/>
      <c r="Y50" s="198"/>
      <c r="Z50" s="198"/>
      <c r="AA50" s="198"/>
      <c r="AB50" s="198"/>
      <c r="AC50" s="198"/>
      <c r="AD50" s="198"/>
      <c r="AE50" s="198"/>
      <c r="AF50" s="198"/>
      <c r="AG50" s="198"/>
      <c r="AH50" s="198"/>
    </row>
    <row r="51" spans="2:34">
      <c r="B51" s="198"/>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row>
    <row r="52" spans="2:34">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row>
    <row r="53" spans="2:34">
      <c r="B53" s="198"/>
      <c r="C53" s="198"/>
      <c r="D53" s="198"/>
      <c r="E53" s="198"/>
      <c r="F53" s="198"/>
      <c r="G53" s="198"/>
      <c r="H53" s="198"/>
      <c r="I53" s="198"/>
      <c r="J53" s="198"/>
      <c r="K53" s="198"/>
      <c r="L53" s="198"/>
      <c r="M53" s="198"/>
      <c r="N53" s="198"/>
      <c r="O53" s="198"/>
      <c r="P53" s="198"/>
      <c r="Q53" s="198"/>
      <c r="R53" s="198"/>
      <c r="S53" s="198"/>
      <c r="T53" s="198"/>
      <c r="U53" s="198"/>
      <c r="V53" s="198"/>
      <c r="W53" s="198"/>
      <c r="X53" s="198"/>
      <c r="Y53" s="198"/>
      <c r="Z53" s="198"/>
      <c r="AA53" s="198"/>
      <c r="AB53" s="198"/>
      <c r="AC53" s="198"/>
      <c r="AD53" s="198"/>
      <c r="AE53" s="198"/>
      <c r="AF53" s="198"/>
      <c r="AG53" s="198"/>
      <c r="AH53" s="198"/>
    </row>
    <row r="54" spans="2:34">
      <c r="B54" s="198"/>
      <c r="C54" s="198"/>
      <c r="D54" s="198"/>
      <c r="E54" s="198"/>
      <c r="F54" s="198"/>
      <c r="G54" s="198"/>
      <c r="H54" s="198"/>
      <c r="I54" s="198"/>
      <c r="J54" s="198"/>
      <c r="K54" s="198"/>
      <c r="L54" s="198"/>
      <c r="M54" s="198"/>
      <c r="N54" s="198"/>
      <c r="O54" s="198"/>
      <c r="P54" s="198"/>
      <c r="Q54" s="198"/>
      <c r="R54" s="198"/>
      <c r="S54" s="198"/>
      <c r="T54" s="198"/>
      <c r="U54" s="198"/>
      <c r="V54" s="198"/>
      <c r="W54" s="198"/>
      <c r="X54" s="198"/>
      <c r="Y54" s="198"/>
      <c r="Z54" s="198"/>
      <c r="AA54" s="198"/>
      <c r="AB54" s="198"/>
      <c r="AC54" s="198"/>
      <c r="AD54" s="198"/>
      <c r="AE54" s="198"/>
      <c r="AF54" s="198"/>
      <c r="AG54" s="198"/>
      <c r="AH54" s="198"/>
    </row>
    <row r="55" spans="2:34">
      <c r="B55" s="198"/>
      <c r="C55" s="198"/>
      <c r="D55" s="198"/>
      <c r="E55" s="198"/>
      <c r="F55" s="198"/>
      <c r="G55" s="198"/>
      <c r="H55" s="198"/>
      <c r="I55" s="198"/>
      <c r="J55" s="198"/>
      <c r="K55" s="198"/>
      <c r="L55" s="198"/>
      <c r="M55" s="198"/>
      <c r="N55" s="198"/>
      <c r="O55" s="198"/>
      <c r="P55" s="198"/>
      <c r="Q55" s="198"/>
      <c r="R55" s="198"/>
      <c r="S55" s="198"/>
      <c r="T55" s="198"/>
      <c r="U55" s="198"/>
      <c r="V55" s="198"/>
      <c r="W55" s="198"/>
      <c r="X55" s="198"/>
      <c r="Y55" s="198"/>
      <c r="Z55" s="198"/>
      <c r="AA55" s="198"/>
      <c r="AB55" s="198"/>
      <c r="AC55" s="198"/>
      <c r="AD55" s="198"/>
      <c r="AE55" s="198"/>
      <c r="AF55" s="198"/>
      <c r="AG55" s="198"/>
      <c r="AH55" s="198"/>
    </row>
    <row r="56" spans="2:34">
      <c r="B56" s="198"/>
      <c r="C56" s="198"/>
      <c r="D56" s="198"/>
      <c r="E56" s="198"/>
      <c r="F56" s="198"/>
      <c r="G56" s="198"/>
      <c r="H56" s="198"/>
      <c r="I56" s="198"/>
      <c r="J56" s="198"/>
      <c r="K56" s="198"/>
      <c r="L56" s="198"/>
      <c r="M56" s="198"/>
      <c r="N56" s="198"/>
      <c r="O56" s="198"/>
      <c r="P56" s="198"/>
      <c r="Q56" s="198"/>
      <c r="R56" s="198"/>
      <c r="S56" s="198"/>
      <c r="T56" s="198"/>
      <c r="U56" s="198"/>
      <c r="V56" s="198"/>
      <c r="W56" s="198"/>
      <c r="X56" s="198"/>
      <c r="Y56" s="198"/>
      <c r="Z56" s="198"/>
      <c r="AA56" s="198"/>
      <c r="AB56" s="198"/>
      <c r="AC56" s="198"/>
      <c r="AD56" s="198"/>
      <c r="AE56" s="198"/>
      <c r="AF56" s="198"/>
      <c r="AG56" s="198"/>
      <c r="AH56" s="198"/>
    </row>
    <row r="57" spans="2:34">
      <c r="B57" s="198"/>
      <c r="C57" s="198"/>
      <c r="D57" s="198"/>
      <c r="E57" s="198"/>
      <c r="F57" s="198"/>
      <c r="G57" s="198"/>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row>
    <row r="58" spans="2:34">
      <c r="B58" s="198"/>
      <c r="C58" s="198"/>
      <c r="D58" s="198"/>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row>
    <row r="59" spans="2:34">
      <c r="B59" s="198"/>
      <c r="C59" s="198"/>
      <c r="D59" s="198"/>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198"/>
      <c r="AF59" s="198"/>
      <c r="AG59" s="198"/>
      <c r="AH59" s="198"/>
    </row>
    <row r="60" spans="2:34">
      <c r="B60" s="198"/>
      <c r="C60" s="198"/>
      <c r="D60" s="198"/>
      <c r="E60" s="198"/>
      <c r="F60" s="198"/>
      <c r="G60" s="198"/>
      <c r="H60" s="198"/>
      <c r="I60" s="198"/>
      <c r="J60" s="198"/>
      <c r="K60" s="198"/>
      <c r="L60" s="198"/>
      <c r="M60" s="198"/>
      <c r="N60" s="198"/>
      <c r="O60" s="198"/>
      <c r="P60" s="198"/>
      <c r="Q60" s="198"/>
      <c r="R60" s="198"/>
      <c r="S60" s="198"/>
      <c r="T60" s="198"/>
      <c r="U60" s="198"/>
      <c r="V60" s="198"/>
      <c r="W60" s="198"/>
      <c r="X60" s="198"/>
      <c r="Y60" s="198"/>
      <c r="Z60" s="198"/>
      <c r="AA60" s="198"/>
      <c r="AB60" s="198"/>
      <c r="AC60" s="198"/>
      <c r="AD60" s="198"/>
      <c r="AE60" s="198"/>
      <c r="AF60" s="198"/>
      <c r="AG60" s="198"/>
      <c r="AH60" s="198"/>
    </row>
    <row r="61" spans="2:34">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8"/>
      <c r="AF61" s="198"/>
      <c r="AG61" s="198"/>
      <c r="AH61" s="198"/>
    </row>
    <row r="62" spans="2:34">
      <c r="B62" s="198"/>
      <c r="C62" s="198"/>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row>
    <row r="63" spans="2:34">
      <c r="B63" s="198"/>
      <c r="C63" s="198"/>
      <c r="D63" s="198"/>
      <c r="E63" s="198"/>
      <c r="F63" s="198"/>
      <c r="G63" s="198"/>
      <c r="H63" s="198"/>
      <c r="I63" s="198"/>
      <c r="J63" s="198"/>
      <c r="K63" s="198"/>
      <c r="L63" s="198"/>
      <c r="M63" s="198"/>
      <c r="N63" s="198"/>
      <c r="O63" s="198"/>
      <c r="P63" s="198"/>
      <c r="Q63" s="198"/>
      <c r="R63" s="198"/>
      <c r="S63" s="198"/>
      <c r="T63" s="198"/>
      <c r="U63" s="198"/>
      <c r="V63" s="198"/>
      <c r="W63" s="198"/>
      <c r="X63" s="198"/>
      <c r="Y63" s="198"/>
      <c r="Z63" s="198"/>
      <c r="AA63" s="198"/>
      <c r="AB63" s="198"/>
      <c r="AC63" s="198"/>
      <c r="AD63" s="198"/>
      <c r="AE63" s="198"/>
      <c r="AF63" s="198"/>
      <c r="AG63" s="198"/>
      <c r="AH63" s="198"/>
    </row>
    <row r="64" spans="2:34">
      <c r="B64" s="198"/>
      <c r="C64" s="198"/>
      <c r="D64" s="198"/>
      <c r="E64" s="198"/>
      <c r="F64" s="198"/>
      <c r="G64" s="198"/>
      <c r="H64" s="198"/>
      <c r="I64" s="198"/>
      <c r="J64" s="198"/>
      <c r="K64" s="198"/>
      <c r="L64" s="198"/>
      <c r="M64" s="198"/>
      <c r="N64" s="198"/>
      <c r="O64" s="198"/>
      <c r="P64" s="198"/>
      <c r="Q64" s="198"/>
      <c r="R64" s="198"/>
      <c r="S64" s="198"/>
      <c r="T64" s="198"/>
      <c r="U64" s="198"/>
      <c r="V64" s="198"/>
      <c r="W64" s="198"/>
      <c r="X64" s="198"/>
      <c r="Y64" s="198"/>
      <c r="Z64" s="198"/>
      <c r="AA64" s="198"/>
      <c r="AB64" s="198"/>
      <c r="AC64" s="198"/>
      <c r="AD64" s="198"/>
      <c r="AE64" s="198"/>
      <c r="AF64" s="198"/>
      <c r="AG64" s="198"/>
      <c r="AH64" s="198"/>
    </row>
    <row r="65" spans="2:34">
      <c r="B65" s="198"/>
      <c r="C65" s="198"/>
      <c r="D65" s="198"/>
      <c r="E65" s="198"/>
      <c r="F65" s="198"/>
      <c r="G65" s="198"/>
      <c r="H65" s="198"/>
      <c r="I65" s="198"/>
      <c r="J65" s="198"/>
      <c r="K65" s="198"/>
      <c r="L65" s="198"/>
      <c r="M65" s="198"/>
      <c r="N65" s="198"/>
      <c r="O65" s="198"/>
      <c r="P65" s="198"/>
      <c r="Q65" s="198"/>
      <c r="R65" s="198"/>
      <c r="S65" s="198"/>
      <c r="T65" s="198"/>
      <c r="U65" s="198"/>
      <c r="V65" s="198"/>
      <c r="W65" s="198"/>
      <c r="X65" s="198"/>
      <c r="Y65" s="198"/>
      <c r="Z65" s="198"/>
      <c r="AA65" s="198"/>
      <c r="AB65" s="198"/>
      <c r="AC65" s="198"/>
      <c r="AD65" s="198"/>
      <c r="AE65" s="198"/>
      <c r="AF65" s="198"/>
      <c r="AG65" s="198"/>
      <c r="AH65" s="198"/>
    </row>
    <row r="66" spans="2:34">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row>
    <row r="67" spans="2:34">
      <c r="B67" s="198"/>
      <c r="C67" s="198"/>
      <c r="D67" s="198"/>
      <c r="E67" s="198"/>
      <c r="F67" s="198"/>
      <c r="G67" s="198"/>
      <c r="H67" s="198"/>
      <c r="I67" s="198"/>
      <c r="J67" s="198"/>
      <c r="K67" s="198"/>
      <c r="L67" s="198"/>
      <c r="M67" s="198"/>
      <c r="N67" s="198"/>
      <c r="O67" s="198"/>
      <c r="P67" s="198"/>
      <c r="Q67" s="198"/>
      <c r="R67" s="198"/>
      <c r="S67" s="198"/>
      <c r="T67" s="198"/>
      <c r="U67" s="198"/>
      <c r="V67" s="198"/>
      <c r="W67" s="198"/>
      <c r="X67" s="198"/>
      <c r="Y67" s="198"/>
      <c r="Z67" s="198"/>
      <c r="AA67" s="198"/>
      <c r="AB67" s="198"/>
      <c r="AC67" s="198"/>
      <c r="AD67" s="198"/>
      <c r="AE67" s="198"/>
      <c r="AF67" s="198"/>
      <c r="AG67" s="198"/>
      <c r="AH67" s="198"/>
    </row>
    <row r="68" spans="2:34">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row>
    <row r="69" spans="2:34">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row>
    <row r="70" spans="2:34">
      <c r="B70" s="198"/>
      <c r="C70" s="198"/>
      <c r="D70" s="198"/>
      <c r="E70" s="198"/>
      <c r="F70" s="198"/>
      <c r="G70" s="198"/>
      <c r="H70" s="198"/>
      <c r="I70" s="198"/>
      <c r="J70" s="198"/>
      <c r="K70" s="198"/>
      <c r="L70" s="198"/>
      <c r="M70" s="198"/>
      <c r="N70" s="198"/>
      <c r="O70" s="198"/>
      <c r="P70" s="198"/>
      <c r="Q70" s="198"/>
      <c r="R70" s="198"/>
      <c r="S70" s="198"/>
      <c r="T70" s="198"/>
      <c r="U70" s="198"/>
      <c r="V70" s="198"/>
      <c r="W70" s="198"/>
      <c r="X70" s="198"/>
      <c r="Y70" s="198"/>
      <c r="Z70" s="198"/>
      <c r="AA70" s="198"/>
      <c r="AB70" s="198"/>
      <c r="AC70" s="198"/>
      <c r="AD70" s="198"/>
      <c r="AE70" s="198"/>
      <c r="AF70" s="198"/>
      <c r="AG70" s="198"/>
      <c r="AH70" s="198"/>
    </row>
    <row r="71" spans="2:34">
      <c r="B71" s="198"/>
      <c r="C71" s="198"/>
      <c r="D71" s="198"/>
      <c r="E71" s="198"/>
      <c r="F71" s="198"/>
      <c r="G71" s="198"/>
      <c r="H71" s="198"/>
      <c r="I71" s="198"/>
      <c r="J71" s="198"/>
      <c r="K71" s="198"/>
      <c r="L71" s="198"/>
      <c r="M71" s="198"/>
      <c r="N71" s="198"/>
      <c r="O71" s="198"/>
      <c r="P71" s="198"/>
      <c r="Q71" s="198"/>
      <c r="R71" s="198"/>
      <c r="S71" s="198"/>
      <c r="T71" s="198"/>
      <c r="U71" s="198"/>
      <c r="V71" s="198"/>
      <c r="W71" s="198"/>
      <c r="X71" s="198"/>
      <c r="Y71" s="198"/>
      <c r="Z71" s="198"/>
      <c r="AA71" s="198"/>
      <c r="AB71" s="198"/>
      <c r="AC71" s="198"/>
      <c r="AD71" s="198"/>
      <c r="AE71" s="198"/>
      <c r="AF71" s="198"/>
      <c r="AG71" s="198"/>
      <c r="AH71" s="198"/>
    </row>
    <row r="72" spans="2:34">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row>
    <row r="73" spans="2:34">
      <c r="B73" s="198"/>
      <c r="C73" s="198"/>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row>
    <row r="74" spans="2:34">
      <c r="B74" s="198"/>
      <c r="C74" s="198"/>
      <c r="D74" s="198"/>
      <c r="E74" s="198"/>
      <c r="F74" s="198"/>
      <c r="G74" s="198"/>
      <c r="H74" s="198"/>
      <c r="I74" s="198"/>
      <c r="J74" s="198"/>
      <c r="K74" s="198"/>
      <c r="L74" s="198"/>
      <c r="M74" s="198"/>
      <c r="N74" s="198"/>
      <c r="O74" s="198"/>
      <c r="P74" s="198"/>
      <c r="Q74" s="198"/>
      <c r="R74" s="198"/>
      <c r="S74" s="198"/>
      <c r="T74" s="198"/>
      <c r="U74" s="198"/>
      <c r="V74" s="198"/>
      <c r="W74" s="198"/>
      <c r="X74" s="198"/>
      <c r="Y74" s="198"/>
      <c r="Z74" s="198"/>
      <c r="AA74" s="198"/>
      <c r="AB74" s="198"/>
      <c r="AC74" s="198"/>
      <c r="AD74" s="198"/>
      <c r="AE74" s="198"/>
      <c r="AF74" s="198"/>
      <c r="AG74" s="198"/>
      <c r="AH74" s="198"/>
    </row>
    <row r="75" spans="2:34">
      <c r="B75" s="198"/>
      <c r="C75" s="198"/>
      <c r="D75" s="198"/>
      <c r="E75" s="198"/>
      <c r="F75" s="198"/>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row>
    <row r="76" spans="2:34">
      <c r="B76" s="198"/>
      <c r="C76" s="198"/>
      <c r="D76" s="198"/>
      <c r="E76" s="198"/>
      <c r="F76" s="198"/>
      <c r="G76" s="198"/>
      <c r="H76" s="198"/>
      <c r="I76" s="198"/>
      <c r="J76" s="198"/>
      <c r="K76" s="198"/>
      <c r="L76" s="198"/>
      <c r="M76" s="198"/>
      <c r="N76" s="198"/>
      <c r="O76" s="198"/>
      <c r="P76" s="198"/>
      <c r="Q76" s="198"/>
      <c r="R76" s="198"/>
      <c r="S76" s="198"/>
      <c r="T76" s="198"/>
      <c r="U76" s="198"/>
      <c r="V76" s="198"/>
      <c r="W76" s="198"/>
      <c r="X76" s="198"/>
      <c r="Y76" s="198"/>
      <c r="Z76" s="198"/>
      <c r="AA76" s="198"/>
      <c r="AB76" s="198"/>
      <c r="AC76" s="198"/>
      <c r="AD76" s="198"/>
      <c r="AE76" s="198"/>
      <c r="AF76" s="198"/>
      <c r="AG76" s="198"/>
      <c r="AH76" s="198"/>
    </row>
    <row r="77" spans="2:34">
      <c r="B77" s="198"/>
      <c r="C77" s="198"/>
      <c r="D77" s="198"/>
      <c r="E77" s="198"/>
      <c r="F77" s="198"/>
      <c r="G77" s="198"/>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row>
    <row r="78" spans="2:34">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row>
    <row r="79" spans="2:34">
      <c r="B79" s="198"/>
      <c r="C79" s="198"/>
      <c r="D79" s="198"/>
      <c r="E79" s="198"/>
      <c r="F79" s="198"/>
      <c r="G79" s="198"/>
      <c r="H79" s="198"/>
      <c r="I79" s="198"/>
      <c r="J79" s="198"/>
      <c r="K79" s="198"/>
      <c r="L79" s="198"/>
      <c r="M79" s="198"/>
      <c r="N79" s="198"/>
      <c r="O79" s="198"/>
      <c r="P79" s="198"/>
      <c r="Q79" s="198"/>
      <c r="R79" s="198"/>
      <c r="S79" s="198"/>
      <c r="T79" s="198"/>
      <c r="U79" s="198"/>
      <c r="V79" s="198"/>
      <c r="W79" s="198"/>
      <c r="X79" s="198"/>
      <c r="Y79" s="198"/>
      <c r="Z79" s="198"/>
      <c r="AA79" s="198"/>
      <c r="AB79" s="198"/>
      <c r="AC79" s="198"/>
      <c r="AD79" s="198"/>
      <c r="AE79" s="198"/>
      <c r="AF79" s="198"/>
      <c r="AG79" s="198"/>
      <c r="AH79" s="198"/>
    </row>
    <row r="80" spans="2:34">
      <c r="B80" s="198"/>
      <c r="C80" s="198"/>
      <c r="D80" s="198"/>
      <c r="E80" s="198"/>
      <c r="F80" s="198"/>
      <c r="G80" s="198"/>
      <c r="H80" s="198"/>
      <c r="I80" s="198"/>
      <c r="J80" s="198"/>
      <c r="K80" s="198"/>
      <c r="L80" s="198"/>
      <c r="M80" s="198"/>
      <c r="N80" s="198"/>
      <c r="O80" s="198"/>
      <c r="P80" s="198"/>
      <c r="Q80" s="198"/>
      <c r="R80" s="198"/>
      <c r="S80" s="198"/>
      <c r="T80" s="198"/>
      <c r="U80" s="198"/>
      <c r="V80" s="198"/>
      <c r="W80" s="198"/>
      <c r="X80" s="198"/>
      <c r="Y80" s="198"/>
      <c r="Z80" s="198"/>
      <c r="AA80" s="198"/>
      <c r="AB80" s="198"/>
      <c r="AC80" s="198"/>
      <c r="AD80" s="198"/>
      <c r="AE80" s="198"/>
      <c r="AF80" s="198"/>
      <c r="AG80" s="198"/>
      <c r="AH80" s="198"/>
    </row>
    <row r="81" spans="2:34">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row>
    <row r="82" spans="2:34">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row>
    <row r="83" spans="2:34">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row>
    <row r="84" spans="2:34">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row>
    <row r="85" spans="2:34">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row>
    <row r="86" spans="2:34">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row>
    <row r="87" spans="2:34">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row>
    <row r="88" spans="2:34">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row>
    <row r="89" spans="2:34">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row>
    <row r="90" spans="2:34">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row>
    <row r="91" spans="2:34">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row>
    <row r="92" spans="2:34">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row>
    <row r="93" spans="2:34">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row>
    <row r="94" spans="2:34">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row>
  </sheetData>
  <sheetProtection algorithmName="SHA-512" hashValue="NeLV/+VZlYw0Ep1+wxdB1QmUVL87CfMMChLcVPCVyizy/kR5snVUu18P0iX814bJ86csXplzzxJr/04TiBbG8g==" saltValue="D6LmSrxyZ1oI6uDbMLjA7Q==" spinCount="100000" sheet="1" objects="1" scenarios="1"/>
  <mergeCells count="40">
    <mergeCell ref="C31:D31"/>
    <mergeCell ref="C21:P28"/>
    <mergeCell ref="Q21:X21"/>
    <mergeCell ref="Q28:R28"/>
    <mergeCell ref="T28:V28"/>
    <mergeCell ref="Q29:R29"/>
    <mergeCell ref="S29:T29"/>
    <mergeCell ref="Q15:S16"/>
    <mergeCell ref="T15:V16"/>
    <mergeCell ref="W15:Y17"/>
    <mergeCell ref="C16:E17"/>
    <mergeCell ref="N16:P17"/>
    <mergeCell ref="K14:M14"/>
    <mergeCell ref="N14:P15"/>
    <mergeCell ref="C15:E15"/>
    <mergeCell ref="G15:J16"/>
    <mergeCell ref="K15:M16"/>
    <mergeCell ref="C10:AB10"/>
    <mergeCell ref="C11:E11"/>
    <mergeCell ref="G11:J14"/>
    <mergeCell ref="K11:M13"/>
    <mergeCell ref="N11:P11"/>
    <mergeCell ref="Q11:S12"/>
    <mergeCell ref="T11:V12"/>
    <mergeCell ref="W11:Y12"/>
    <mergeCell ref="Z11:AB13"/>
    <mergeCell ref="C12:E12"/>
    <mergeCell ref="N12:P13"/>
    <mergeCell ref="C13:F13"/>
    <mergeCell ref="Q13:S14"/>
    <mergeCell ref="T13:V14"/>
    <mergeCell ref="W13:Y14"/>
    <mergeCell ref="C14:E14"/>
    <mergeCell ref="N2:T2"/>
    <mergeCell ref="O4:S4"/>
    <mergeCell ref="C6:E6"/>
    <mergeCell ref="G6:Z6"/>
    <mergeCell ref="I7:P7"/>
    <mergeCell ref="Q7:S7"/>
    <mergeCell ref="T7:V7"/>
  </mergeCells>
  <conditionalFormatting sqref="L9:N9">
    <cfRule type="containsText" dxfId="43" priority="9" operator="containsText" text="80">
      <formula>NOT(ISERROR(SEARCH("80",L9)))</formula>
    </cfRule>
  </conditionalFormatting>
  <conditionalFormatting sqref="T9">
    <cfRule type="containsText" dxfId="42" priority="8" operator="containsText" text="460">
      <formula>NOT(ISERROR(SEARCH("460",T9)))</formula>
    </cfRule>
  </conditionalFormatting>
  <conditionalFormatting sqref="U9">
    <cfRule type="containsText" dxfId="41" priority="6" operator="containsText" text="19">
      <formula>NOT(ISERROR(SEARCH("19",U9)))</formula>
    </cfRule>
    <cfRule type="containsText" dxfId="40" priority="7" operator="containsText" text="10">
      <formula>NOT(ISERROR(SEARCH("10",U9)))</formula>
    </cfRule>
    <cfRule type="containsText" dxfId="39" priority="2" operator="containsText" text="23">
      <formula>NOT(ISERROR(SEARCH("23",U9)))</formula>
    </cfRule>
  </conditionalFormatting>
  <conditionalFormatting sqref="V9">
    <cfRule type="containsText" dxfId="38" priority="5" operator="containsText" text="3">
      <formula>NOT(ISERROR(SEARCH("3",V9)))</formula>
    </cfRule>
    <cfRule type="containsText" dxfId="37" priority="1" operator="containsText" text="11">
      <formula>NOT(ISERROR(SEARCH("11",V9)))</formula>
    </cfRule>
  </conditionalFormatting>
  <conditionalFormatting sqref="Z11 V43">
    <cfRule type="expression" dxfId="36" priority="4">
      <formula>AND($R$9&lt;3000)=TRUE</formula>
    </cfRule>
  </conditionalFormatting>
  <conditionalFormatting sqref="V41">
    <cfRule type="expression" dxfId="35" priority="3">
      <formula>AND($R$9&lt;3000)=TRUE</formula>
    </cfRule>
  </conditionalFormatting>
  <dataValidations count="1">
    <dataValidation type="list" allowBlank="1" showInputMessage="1" showErrorMessage="1" sqref="O4:S4" xr:uid="{9B27055B-E3C6-45DC-ADAF-465C126E1692}">
      <formula1>BMKPlatEdgeii</formula1>
    </dataValidation>
  </dataValidation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B1:AH92"/>
  <sheetViews>
    <sheetView workbookViewId="0">
      <selection activeCell="C9" sqref="C9"/>
    </sheetView>
  </sheetViews>
  <sheetFormatPr defaultColWidth="10.83203125" defaultRowHeight="15.5"/>
  <cols>
    <col min="1" max="2" width="2.58203125" style="17" customWidth="1"/>
    <col min="3" max="28" width="11.25" style="17" customWidth="1"/>
    <col min="29" max="29" width="2.58203125" style="17" customWidth="1"/>
    <col min="30" max="16384" width="10.83203125" style="17"/>
  </cols>
  <sheetData>
    <row r="1" spans="2:29" ht="16" thickBot="1"/>
    <row r="2" spans="2:29" ht="25" customHeight="1" thickBot="1">
      <c r="B2" s="76"/>
      <c r="C2" s="77"/>
      <c r="D2" s="78"/>
      <c r="E2" s="79"/>
      <c r="F2" s="80"/>
      <c r="G2" s="80"/>
      <c r="H2" s="80"/>
      <c r="I2" s="80"/>
      <c r="J2" s="80"/>
      <c r="K2" s="80"/>
      <c r="L2" s="80"/>
      <c r="M2" s="224" t="s">
        <v>281</v>
      </c>
      <c r="N2" s="224"/>
      <c r="O2" s="224"/>
      <c r="P2" s="224"/>
      <c r="Q2" s="224"/>
      <c r="R2" s="224"/>
      <c r="S2" s="224"/>
      <c r="T2" s="224"/>
      <c r="U2" s="224"/>
      <c r="V2" s="81"/>
      <c r="W2" s="81"/>
      <c r="X2" s="81"/>
      <c r="Y2" s="81"/>
      <c r="Z2" s="81"/>
      <c r="AA2" s="81"/>
      <c r="AB2" s="90" t="s">
        <v>103</v>
      </c>
      <c r="AC2" s="82"/>
    </row>
    <row r="3" spans="2:29" ht="16" customHeight="1">
      <c r="B3" s="83"/>
      <c r="C3" s="34"/>
      <c r="D3" s="34"/>
      <c r="E3" s="34"/>
      <c r="F3" s="34"/>
      <c r="G3" s="34"/>
      <c r="H3" s="34"/>
      <c r="I3" s="34"/>
      <c r="J3" s="34"/>
      <c r="K3" s="34"/>
      <c r="L3" s="34"/>
      <c r="M3" s="34"/>
      <c r="N3" s="34"/>
      <c r="O3" s="34"/>
      <c r="P3" s="34"/>
      <c r="Q3" s="34"/>
      <c r="R3" s="34"/>
      <c r="S3" s="34"/>
      <c r="T3" s="34"/>
      <c r="U3" s="34"/>
      <c r="V3" s="34"/>
      <c r="W3" s="34"/>
      <c r="X3" s="34"/>
      <c r="Y3" s="34"/>
      <c r="Z3" s="34"/>
      <c r="AA3" s="34"/>
      <c r="AB3" s="34"/>
      <c r="AC3" s="84"/>
    </row>
    <row r="4" spans="2:29" ht="18.5">
      <c r="B4" s="83"/>
      <c r="C4" s="34"/>
      <c r="D4" s="34"/>
      <c r="E4" s="34"/>
      <c r="F4" s="34"/>
      <c r="G4" s="34"/>
      <c r="H4" s="34"/>
      <c r="I4" s="34"/>
      <c r="J4" s="34"/>
      <c r="K4" s="34"/>
      <c r="L4" s="34"/>
      <c r="M4" s="34"/>
      <c r="N4" s="174" t="s">
        <v>269</v>
      </c>
      <c r="O4" s="225" t="s">
        <v>320</v>
      </c>
      <c r="P4" s="226"/>
      <c r="Q4" s="226"/>
      <c r="R4" s="226"/>
      <c r="S4" s="226"/>
      <c r="T4" s="35"/>
      <c r="U4" s="35"/>
      <c r="V4" s="34"/>
      <c r="W4" s="34"/>
      <c r="X4" s="34"/>
      <c r="Y4" s="34"/>
      <c r="Z4" s="34"/>
      <c r="AA4" s="34"/>
      <c r="AB4" s="34"/>
      <c r="AC4" s="84"/>
    </row>
    <row r="5" spans="2:29" ht="16" thickBot="1">
      <c r="B5" s="83"/>
      <c r="C5" s="34"/>
      <c r="D5" s="34"/>
      <c r="E5" s="34"/>
      <c r="F5" s="34"/>
      <c r="G5" s="34"/>
      <c r="H5" s="34"/>
      <c r="I5" s="34"/>
      <c r="J5" s="34"/>
      <c r="K5" s="34"/>
      <c r="L5" s="34"/>
      <c r="M5" s="34"/>
      <c r="N5" s="34"/>
      <c r="O5" s="34"/>
      <c r="P5" s="34"/>
      <c r="Q5" s="34"/>
      <c r="R5" s="34"/>
      <c r="S5" s="34"/>
      <c r="T5" s="34"/>
      <c r="U5" s="34"/>
      <c r="V5" s="34"/>
      <c r="W5" s="34"/>
      <c r="X5" s="34"/>
      <c r="Y5" s="34"/>
      <c r="Z5" s="34"/>
      <c r="AA5" s="34"/>
      <c r="AB5" s="34"/>
      <c r="AC5" s="84"/>
    </row>
    <row r="6" spans="2:29" ht="18" customHeight="1" thickBot="1">
      <c r="B6" s="83"/>
      <c r="C6" s="227"/>
      <c r="D6" s="228"/>
      <c r="E6" s="228"/>
      <c r="F6" s="96"/>
      <c r="G6" s="229" t="s">
        <v>97</v>
      </c>
      <c r="H6" s="229"/>
      <c r="I6" s="229"/>
      <c r="J6" s="229"/>
      <c r="K6" s="229"/>
      <c r="L6" s="229"/>
      <c r="M6" s="229"/>
      <c r="N6" s="229"/>
      <c r="O6" s="229"/>
      <c r="P6" s="229"/>
      <c r="Q6" s="229"/>
      <c r="R6" s="229"/>
      <c r="S6" s="229"/>
      <c r="T6" s="229"/>
      <c r="U6" s="229"/>
      <c r="V6" s="229"/>
      <c r="W6" s="229"/>
      <c r="X6" s="229"/>
      <c r="Y6" s="229"/>
      <c r="Z6" s="229"/>
      <c r="AA6" s="97"/>
      <c r="AB6" s="75"/>
      <c r="AC6" s="84"/>
    </row>
    <row r="7" spans="2:29" ht="16" thickBot="1">
      <c r="B7" s="83"/>
      <c r="C7" s="7"/>
      <c r="D7" s="7"/>
      <c r="E7" s="7"/>
      <c r="F7" s="7"/>
      <c r="G7" s="7"/>
      <c r="H7" s="9"/>
      <c r="I7" s="227" t="s">
        <v>0</v>
      </c>
      <c r="J7" s="230"/>
      <c r="K7" s="230"/>
      <c r="L7" s="230"/>
      <c r="M7" s="230"/>
      <c r="N7" s="230"/>
      <c r="O7" s="230"/>
      <c r="P7" s="231"/>
      <c r="Q7" s="227" t="s">
        <v>1</v>
      </c>
      <c r="R7" s="230"/>
      <c r="S7" s="231"/>
      <c r="T7" s="227" t="s">
        <v>2</v>
      </c>
      <c r="U7" s="230"/>
      <c r="V7" s="231"/>
      <c r="W7" s="8"/>
      <c r="X7" s="8"/>
      <c r="Y7" s="74"/>
      <c r="Z7" s="74"/>
      <c r="AA7" s="72"/>
      <c r="AB7" s="9"/>
      <c r="AC7" s="84"/>
    </row>
    <row r="8" spans="2:29" ht="43" customHeight="1" thickBot="1">
      <c r="B8" s="83"/>
      <c r="C8" s="53" t="s">
        <v>18</v>
      </c>
      <c r="D8" s="53" t="s">
        <v>3</v>
      </c>
      <c r="E8" s="53" t="s">
        <v>4</v>
      </c>
      <c r="F8" s="53" t="s">
        <v>24</v>
      </c>
      <c r="G8" s="53" t="s">
        <v>30</v>
      </c>
      <c r="H8" s="53" t="s">
        <v>80</v>
      </c>
      <c r="I8" s="53" t="s">
        <v>81</v>
      </c>
      <c r="J8" s="53" t="s">
        <v>113</v>
      </c>
      <c r="K8" s="53" t="s">
        <v>19</v>
      </c>
      <c r="L8" s="53" t="s">
        <v>20</v>
      </c>
      <c r="M8" s="53" t="s">
        <v>84</v>
      </c>
      <c r="N8" s="53" t="s">
        <v>82</v>
      </c>
      <c r="O8" s="53" t="s">
        <v>21</v>
      </c>
      <c r="P8" s="53" t="s">
        <v>98</v>
      </c>
      <c r="Q8" s="59" t="s">
        <v>5</v>
      </c>
      <c r="R8" s="59" t="s">
        <v>22</v>
      </c>
      <c r="S8" s="59" t="s">
        <v>99</v>
      </c>
      <c r="T8" s="59" t="s">
        <v>61</v>
      </c>
      <c r="U8" s="59" t="s">
        <v>7</v>
      </c>
      <c r="V8" s="59" t="s">
        <v>26</v>
      </c>
      <c r="W8" s="53" t="s">
        <v>100</v>
      </c>
      <c r="X8" s="53" t="s">
        <v>25</v>
      </c>
      <c r="Y8" s="53" t="s">
        <v>6</v>
      </c>
      <c r="Z8" s="53" t="s">
        <v>116</v>
      </c>
      <c r="AA8" s="73" t="s">
        <v>114</v>
      </c>
      <c r="AB8" s="71" t="s">
        <v>8</v>
      </c>
      <c r="AC8" s="84"/>
    </row>
    <row r="9" spans="2:29" ht="41.25" customHeight="1" thickBot="1">
      <c r="B9" s="83"/>
      <c r="C9" s="61" t="s">
        <v>9</v>
      </c>
      <c r="D9" s="61" t="s">
        <v>10</v>
      </c>
      <c r="E9" s="61" t="s">
        <v>11</v>
      </c>
      <c r="F9" s="129" t="s">
        <v>112</v>
      </c>
      <c r="G9" s="59" t="str">
        <f>VLOOKUP($O4,BMKSTDwEdge,6,FALSE)</f>
        <v>3480/3840</v>
      </c>
      <c r="H9" s="59">
        <f>VLOOKUP($O4,BMKSTDwEdge,7,FALSE)</f>
        <v>95</v>
      </c>
      <c r="I9" s="126">
        <f>S26</f>
        <v>25</v>
      </c>
      <c r="J9" s="127">
        <f>VLOOKUP($O4,BMKSTDwEdge,9,FALSE)</f>
        <v>75</v>
      </c>
      <c r="K9" s="128" t="str">
        <f>$S$27</f>
        <v>50 PSI</v>
      </c>
      <c r="L9" s="59">
        <f>VLOOKUP($O4,BMKSTDwEdge,11,FALSE)</f>
        <v>160</v>
      </c>
      <c r="M9" s="60" t="s">
        <v>48</v>
      </c>
      <c r="N9" s="60" t="s">
        <v>48</v>
      </c>
      <c r="O9" s="59" t="str">
        <f>VLOOKUP($O4,BMKSTDwEdge,14,FALSE)</f>
        <v>35 / 500</v>
      </c>
      <c r="P9" s="59" t="str">
        <f>VLOOKUP($O4,BMKSTDwEdge,15,FALSE)</f>
        <v>5.0 PSIG @ 475GPM</v>
      </c>
      <c r="Q9" s="59" t="str">
        <f>VLOOKUP($O4,BMKSTDwEdge,16,FALSE)</f>
        <v>NATURAL GAS</v>
      </c>
      <c r="R9" s="59">
        <f>VLOOKUP($O4,BMKSTDwEdge,17,FALSE)</f>
        <v>4000</v>
      </c>
      <c r="S9" s="129" t="str">
        <f>VLOOKUP($O4,BMKSTDwEdge,18,FALSE)</f>
        <v>4 - 14</v>
      </c>
      <c r="T9" s="59" t="str">
        <f>VLOOKUP($O4,BMKSTDwEdge,19,FALSE)</f>
        <v>208/3/60
460/3/60</v>
      </c>
      <c r="U9" s="59" t="str">
        <f>VLOOKUP($O4,BMKSTDwEdge,20,FALSE)</f>
        <v>23
12</v>
      </c>
      <c r="V9" s="59" t="str">
        <f>VLOOKUP($O4,BMKSTDwEdge,21,FALSE)</f>
        <v>11
11</v>
      </c>
      <c r="W9" s="59" t="str">
        <f>VLOOKUP($O4,BMKSTDwEdge,22,FALSE)</f>
        <v>80 x 34 x 79</v>
      </c>
      <c r="X9" s="59">
        <f>VLOOKUP($O4,BMKSTDwEdge,23,FALSE)</f>
        <v>2820</v>
      </c>
      <c r="Y9" s="59" t="s">
        <v>47</v>
      </c>
      <c r="Z9" s="59" t="s">
        <v>29</v>
      </c>
      <c r="AA9" s="59" t="s">
        <v>115</v>
      </c>
      <c r="AB9" s="59" t="str">
        <f>VLOOKUP($O4,BMKSTDwEdge,27,FALSE)</f>
        <v>BMK STANDARD 4000 WITH EDGE[i]</v>
      </c>
      <c r="AC9" s="84"/>
    </row>
    <row r="10" spans="2:29" ht="16.5" customHeight="1">
      <c r="B10" s="83"/>
      <c r="C10" s="218" t="s">
        <v>31</v>
      </c>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20"/>
      <c r="AC10" s="84"/>
    </row>
    <row r="11" spans="2:29" ht="16.5" customHeight="1">
      <c r="B11" s="83"/>
      <c r="C11" s="214" t="s">
        <v>17</v>
      </c>
      <c r="D11" s="212"/>
      <c r="E11" s="212"/>
      <c r="F11" s="221" t="s">
        <v>117</v>
      </c>
      <c r="G11" s="221"/>
      <c r="H11" s="221"/>
      <c r="I11" s="212" t="s">
        <v>119</v>
      </c>
      <c r="J11" s="212"/>
      <c r="K11" s="212"/>
      <c r="L11" s="212" t="s">
        <v>107</v>
      </c>
      <c r="M11" s="212"/>
      <c r="N11" s="212"/>
      <c r="O11" s="216" t="s">
        <v>109</v>
      </c>
      <c r="P11" s="216"/>
      <c r="Q11" s="216"/>
      <c r="R11" s="212" t="s">
        <v>111</v>
      </c>
      <c r="S11" s="212"/>
      <c r="T11" s="212"/>
      <c r="U11" s="212"/>
      <c r="V11" s="161"/>
      <c r="W11" s="161"/>
      <c r="X11" s="177"/>
      <c r="Y11" s="177"/>
      <c r="Z11" s="161"/>
      <c r="AA11" s="161"/>
      <c r="AB11" s="68"/>
      <c r="AC11" s="84"/>
    </row>
    <row r="12" spans="2:29" ht="16.5" customHeight="1">
      <c r="B12" s="83"/>
      <c r="C12" s="214" t="str">
        <f>VLOOKUP($O4,BMKSTDwEdge,28,FALSE)</f>
        <v>2. MINIMUM TURNDOWN: 15:1</v>
      </c>
      <c r="D12" s="212"/>
      <c r="E12" s="212"/>
      <c r="F12" s="221"/>
      <c r="G12" s="221"/>
      <c r="H12" s="221"/>
      <c r="I12" s="212" t="s">
        <v>346</v>
      </c>
      <c r="J12" s="212"/>
      <c r="K12" s="212"/>
      <c r="L12" s="212"/>
      <c r="M12" s="212"/>
      <c r="N12" s="212"/>
      <c r="O12" s="216"/>
      <c r="P12" s="216"/>
      <c r="Q12" s="216"/>
      <c r="R12" s="212"/>
      <c r="S12" s="212"/>
      <c r="T12" s="212"/>
      <c r="U12" s="212"/>
      <c r="V12" s="161"/>
      <c r="W12" s="161"/>
      <c r="X12" s="177"/>
      <c r="Y12" s="177"/>
      <c r="Z12" s="161"/>
      <c r="AA12" s="161"/>
      <c r="AB12" s="68"/>
      <c r="AC12" s="84"/>
    </row>
    <row r="13" spans="2:29" ht="16.5" customHeight="1">
      <c r="B13" s="83"/>
      <c r="C13" s="214" t="s">
        <v>343</v>
      </c>
      <c r="D13" s="212"/>
      <c r="E13" s="212"/>
      <c r="G13" s="191"/>
      <c r="H13" s="191"/>
      <c r="I13" s="212"/>
      <c r="J13" s="212"/>
      <c r="K13" s="212"/>
      <c r="L13" s="212" t="s">
        <v>108</v>
      </c>
      <c r="M13" s="212"/>
      <c r="N13" s="212"/>
      <c r="O13" s="216" t="s">
        <v>110</v>
      </c>
      <c r="P13" s="216"/>
      <c r="Q13" s="216"/>
      <c r="R13" s="212"/>
      <c r="S13" s="212"/>
      <c r="T13" s="212"/>
      <c r="U13" s="212"/>
      <c r="V13" s="161"/>
      <c r="W13" s="161"/>
      <c r="X13" s="177"/>
      <c r="Y13" s="177"/>
      <c r="Z13" s="161"/>
      <c r="AA13" s="161"/>
      <c r="AB13" s="68"/>
      <c r="AC13" s="84"/>
    </row>
    <row r="14" spans="2:29" ht="20" customHeight="1">
      <c r="B14" s="83"/>
      <c r="C14" s="214" t="s">
        <v>342</v>
      </c>
      <c r="D14" s="212"/>
      <c r="E14" s="212"/>
      <c r="F14" s="212" t="s">
        <v>118</v>
      </c>
      <c r="G14" s="212"/>
      <c r="H14" s="212"/>
      <c r="I14" s="212"/>
      <c r="J14" s="212"/>
      <c r="K14" s="212"/>
      <c r="L14" s="212"/>
      <c r="M14" s="212"/>
      <c r="N14" s="212"/>
      <c r="O14" s="216"/>
      <c r="P14" s="216"/>
      <c r="Q14" s="216"/>
      <c r="R14" s="212"/>
      <c r="S14" s="212"/>
      <c r="T14" s="212"/>
      <c r="U14" s="212"/>
      <c r="V14" s="161"/>
      <c r="W14" s="161"/>
      <c r="X14" s="177"/>
      <c r="Y14" s="177"/>
      <c r="Z14" s="161"/>
      <c r="AA14" s="161"/>
      <c r="AB14" s="68"/>
      <c r="AC14" s="84"/>
    </row>
    <row r="15" spans="2:29" ht="16.5" customHeight="1" thickBot="1">
      <c r="B15" s="83"/>
      <c r="C15" s="217"/>
      <c r="D15" s="213"/>
      <c r="E15" s="213"/>
      <c r="F15" s="213"/>
      <c r="G15" s="213"/>
      <c r="H15" s="213"/>
      <c r="I15" s="213" t="s">
        <v>101</v>
      </c>
      <c r="J15" s="213"/>
      <c r="K15" s="213"/>
      <c r="L15" s="178"/>
      <c r="M15" s="178"/>
      <c r="N15" s="178"/>
      <c r="O15" s="178"/>
      <c r="P15" s="178"/>
      <c r="Q15" s="178"/>
      <c r="R15" s="213"/>
      <c r="S15" s="213"/>
      <c r="T15" s="213"/>
      <c r="U15" s="213"/>
      <c r="V15" s="162"/>
      <c r="W15" s="162"/>
      <c r="X15" s="162"/>
      <c r="Y15" s="178"/>
      <c r="Z15" s="162"/>
      <c r="AA15" s="162"/>
      <c r="AB15" s="69"/>
      <c r="AC15" s="84"/>
    </row>
    <row r="16" spans="2:29" ht="16.5" customHeight="1">
      <c r="B16" s="83"/>
      <c r="C16" s="34"/>
      <c r="D16" s="34"/>
      <c r="E16" s="34"/>
      <c r="F16" s="34"/>
      <c r="G16" s="34"/>
      <c r="H16" s="34"/>
      <c r="L16" s="34"/>
      <c r="M16" s="34"/>
      <c r="N16" s="34"/>
      <c r="O16" s="34"/>
      <c r="P16" s="34"/>
      <c r="Q16" s="34"/>
      <c r="R16" s="34"/>
      <c r="S16" s="34"/>
      <c r="T16" s="34"/>
      <c r="U16" s="34"/>
      <c r="V16" s="34"/>
      <c r="W16" s="34"/>
      <c r="X16" s="34"/>
      <c r="Y16" s="34"/>
      <c r="Z16" s="34"/>
      <c r="AA16" s="34"/>
      <c r="AB16" s="34"/>
      <c r="AC16" s="84"/>
    </row>
    <row r="17" spans="2:34" ht="16.5" customHeight="1">
      <c r="B17" s="83"/>
      <c r="C17" s="34"/>
      <c r="D17" s="34"/>
      <c r="E17" s="34"/>
      <c r="F17" s="34"/>
      <c r="G17" s="34"/>
      <c r="H17" s="34"/>
      <c r="L17" s="34"/>
      <c r="M17" s="34"/>
      <c r="N17" s="34"/>
      <c r="O17" s="34"/>
      <c r="P17" s="34"/>
      <c r="Q17" s="34"/>
      <c r="R17" s="34"/>
      <c r="S17" s="34"/>
      <c r="T17" s="34"/>
      <c r="U17" s="34"/>
      <c r="V17" s="34"/>
      <c r="W17" s="34"/>
      <c r="X17" s="34"/>
      <c r="Y17" s="34"/>
      <c r="Z17" s="34"/>
      <c r="AA17" s="34"/>
      <c r="AB17" s="34"/>
      <c r="AC17" s="84"/>
    </row>
    <row r="18" spans="2:34">
      <c r="B18" s="83"/>
      <c r="C18" s="34"/>
      <c r="D18" s="34"/>
      <c r="E18" s="34"/>
      <c r="F18" s="34"/>
      <c r="G18" s="34"/>
      <c r="H18" s="34"/>
      <c r="L18" s="34"/>
      <c r="M18" s="34"/>
      <c r="N18" s="34"/>
      <c r="O18" s="34"/>
      <c r="P18" s="34"/>
      <c r="Q18" s="34"/>
      <c r="R18" s="34"/>
      <c r="S18" s="34"/>
      <c r="T18" s="34"/>
      <c r="U18" s="34"/>
      <c r="V18" s="34"/>
      <c r="W18" s="34"/>
      <c r="X18" s="34"/>
      <c r="Y18" s="34"/>
      <c r="Z18" s="34"/>
      <c r="AA18" s="34"/>
      <c r="AB18" s="34"/>
      <c r="AC18" s="84"/>
    </row>
    <row r="19" spans="2:34">
      <c r="B19" s="83"/>
      <c r="C19" s="208" t="s">
        <v>136</v>
      </c>
      <c r="D19" s="209"/>
      <c r="E19" s="209"/>
      <c r="F19" s="209"/>
      <c r="G19" s="209"/>
      <c r="H19" s="209"/>
      <c r="I19" s="209"/>
      <c r="J19" s="209"/>
      <c r="K19" s="209"/>
      <c r="L19" s="209"/>
      <c r="M19" s="209"/>
      <c r="N19" s="209"/>
      <c r="O19" s="209"/>
      <c r="P19" s="210"/>
      <c r="Q19" s="208" t="s">
        <v>93</v>
      </c>
      <c r="R19" s="211"/>
      <c r="S19" s="211"/>
      <c r="T19" s="211"/>
      <c r="U19" s="211"/>
      <c r="V19" s="211"/>
      <c r="W19" s="211"/>
      <c r="X19" s="211"/>
      <c r="Y19" s="28"/>
      <c r="Z19" s="28"/>
      <c r="AA19" s="28"/>
      <c r="AB19" s="28"/>
      <c r="AC19" s="84"/>
    </row>
    <row r="20" spans="2:34">
      <c r="B20" s="83"/>
      <c r="C20" s="209"/>
      <c r="D20" s="209"/>
      <c r="E20" s="209"/>
      <c r="F20" s="209"/>
      <c r="G20" s="209"/>
      <c r="H20" s="209"/>
      <c r="I20" s="209"/>
      <c r="J20" s="209"/>
      <c r="K20" s="209"/>
      <c r="L20" s="209"/>
      <c r="M20" s="209"/>
      <c r="N20" s="209"/>
      <c r="O20" s="209"/>
      <c r="P20" s="210"/>
      <c r="Q20" s="62"/>
      <c r="R20" s="63"/>
      <c r="S20" s="63"/>
      <c r="T20" s="63"/>
      <c r="U20" s="63"/>
      <c r="V20" s="63"/>
      <c r="W20" s="63"/>
      <c r="X20" s="63"/>
      <c r="Y20" s="28"/>
      <c r="Z20" s="28"/>
      <c r="AA20" s="28"/>
      <c r="AB20" s="28"/>
      <c r="AC20" s="84"/>
    </row>
    <row r="21" spans="2:34">
      <c r="B21" s="83"/>
      <c r="C21" s="209"/>
      <c r="D21" s="209"/>
      <c r="E21" s="209"/>
      <c r="F21" s="209"/>
      <c r="G21" s="209"/>
      <c r="H21" s="209"/>
      <c r="I21" s="209"/>
      <c r="J21" s="209"/>
      <c r="K21" s="209"/>
      <c r="L21" s="209"/>
      <c r="M21" s="209"/>
      <c r="N21" s="209"/>
      <c r="O21" s="209"/>
      <c r="P21" s="210"/>
      <c r="Q21" s="62" t="s">
        <v>86</v>
      </c>
      <c r="R21" s="63"/>
      <c r="S21" s="63"/>
      <c r="T21" s="63"/>
      <c r="U21" s="63"/>
      <c r="V21" s="63"/>
      <c r="W21" s="63"/>
      <c r="X21" s="63"/>
      <c r="Y21" s="28"/>
      <c r="Z21" s="28"/>
      <c r="AA21" s="28"/>
      <c r="AB21" s="28"/>
      <c r="AC21" s="84"/>
    </row>
    <row r="22" spans="2:34">
      <c r="B22" s="83"/>
      <c r="C22" s="209"/>
      <c r="D22" s="209"/>
      <c r="E22" s="209"/>
      <c r="F22" s="209"/>
      <c r="G22" s="209"/>
      <c r="H22" s="209"/>
      <c r="I22" s="209"/>
      <c r="J22" s="209"/>
      <c r="K22" s="209"/>
      <c r="L22" s="209"/>
      <c r="M22" s="209"/>
      <c r="N22" s="209"/>
      <c r="O22" s="209"/>
      <c r="P22" s="210"/>
      <c r="Q22" s="62" t="s">
        <v>87</v>
      </c>
      <c r="R22" s="63"/>
      <c r="S22" s="63"/>
      <c r="T22" s="63"/>
      <c r="U22" s="63"/>
      <c r="V22" s="63"/>
      <c r="W22" s="63"/>
      <c r="X22" s="63"/>
      <c r="Y22" s="28"/>
      <c r="Z22" s="28"/>
      <c r="AA22" s="28"/>
      <c r="AB22" s="28"/>
      <c r="AC22" s="84"/>
    </row>
    <row r="23" spans="2:34">
      <c r="B23" s="83"/>
      <c r="C23" s="209"/>
      <c r="D23" s="209"/>
      <c r="E23" s="209"/>
      <c r="F23" s="209"/>
      <c r="G23" s="209"/>
      <c r="H23" s="209"/>
      <c r="I23" s="209"/>
      <c r="J23" s="209"/>
      <c r="K23" s="209"/>
      <c r="L23" s="209"/>
      <c r="M23" s="209"/>
      <c r="N23" s="209"/>
      <c r="O23" s="209"/>
      <c r="P23" s="210"/>
      <c r="Q23" s="62" t="s">
        <v>88</v>
      </c>
      <c r="R23" s="63"/>
      <c r="S23" s="63"/>
      <c r="T23" s="63"/>
      <c r="U23" s="63"/>
      <c r="V23" s="63"/>
      <c r="W23" s="63"/>
      <c r="X23" s="63"/>
      <c r="Y23" s="28"/>
      <c r="Z23" s="28"/>
      <c r="AA23" s="28"/>
      <c r="AB23" s="28"/>
      <c r="AC23" s="84"/>
    </row>
    <row r="24" spans="2:34">
      <c r="B24" s="83"/>
      <c r="C24" s="209"/>
      <c r="D24" s="209"/>
      <c r="E24" s="209"/>
      <c r="F24" s="209"/>
      <c r="G24" s="209"/>
      <c r="H24" s="209"/>
      <c r="I24" s="209"/>
      <c r="J24" s="209"/>
      <c r="K24" s="209"/>
      <c r="L24" s="209"/>
      <c r="M24" s="209"/>
      <c r="N24" s="209"/>
      <c r="O24" s="209"/>
      <c r="P24" s="210"/>
      <c r="Q24" s="62"/>
      <c r="R24" s="63"/>
      <c r="S24" s="63"/>
      <c r="T24" s="63"/>
      <c r="U24" s="63"/>
      <c r="V24" s="63"/>
      <c r="W24" s="63"/>
      <c r="X24" s="63"/>
      <c r="Y24" s="28"/>
      <c r="Z24" s="28"/>
      <c r="AA24" s="28"/>
      <c r="AB24" s="28"/>
      <c r="AC24" s="84"/>
    </row>
    <row r="25" spans="2:34">
      <c r="B25" s="83"/>
      <c r="C25" s="209"/>
      <c r="D25" s="209"/>
      <c r="E25" s="209"/>
      <c r="F25" s="209"/>
      <c r="G25" s="209"/>
      <c r="H25" s="209"/>
      <c r="I25" s="209"/>
      <c r="J25" s="209"/>
      <c r="K25" s="209"/>
      <c r="L25" s="209"/>
      <c r="M25" s="209"/>
      <c r="N25" s="209"/>
      <c r="O25" s="209"/>
      <c r="P25" s="210"/>
      <c r="Q25" s="26"/>
      <c r="R25" s="27"/>
      <c r="S25" s="27"/>
      <c r="T25" s="27"/>
      <c r="U25" s="27"/>
      <c r="V25" s="27"/>
      <c r="W25" s="27"/>
      <c r="X25" s="27"/>
      <c r="Y25" s="36"/>
      <c r="Z25" s="36"/>
      <c r="AA25" s="36"/>
      <c r="AB25" s="36"/>
      <c r="AC25" s="84"/>
    </row>
    <row r="26" spans="2:34">
      <c r="B26" s="83"/>
      <c r="C26" s="209"/>
      <c r="D26" s="209"/>
      <c r="E26" s="209"/>
      <c r="F26" s="209"/>
      <c r="G26" s="209"/>
      <c r="H26" s="209"/>
      <c r="I26" s="209"/>
      <c r="J26" s="209"/>
      <c r="K26" s="209"/>
      <c r="L26" s="209"/>
      <c r="M26" s="209"/>
      <c r="N26" s="209"/>
      <c r="O26" s="209"/>
      <c r="P26" s="210"/>
      <c r="Q26" s="204" t="s">
        <v>89</v>
      </c>
      <c r="R26" s="205"/>
      <c r="S26" s="173">
        <v>25</v>
      </c>
      <c r="T26" s="205" t="s">
        <v>91</v>
      </c>
      <c r="U26" s="205"/>
      <c r="V26" s="205"/>
      <c r="W26" s="63"/>
      <c r="X26" s="63"/>
      <c r="Y26" s="28"/>
      <c r="Z26" s="28"/>
      <c r="AA26" s="28"/>
      <c r="AB26" s="28"/>
      <c r="AC26" s="84"/>
    </row>
    <row r="27" spans="2:34">
      <c r="B27" s="83"/>
      <c r="C27" s="67"/>
      <c r="D27" s="67"/>
      <c r="E27" s="66"/>
      <c r="F27" s="66"/>
      <c r="G27" s="66"/>
      <c r="H27" s="66"/>
      <c r="I27" s="66"/>
      <c r="J27" s="66"/>
      <c r="K27" s="66"/>
      <c r="L27" s="66"/>
      <c r="M27" s="66"/>
      <c r="N27" s="66"/>
      <c r="O27" s="66"/>
      <c r="P27" s="34"/>
      <c r="Q27" s="204" t="s">
        <v>90</v>
      </c>
      <c r="R27" s="205"/>
      <c r="S27" s="206" t="str">
        <f>INDEX(RVpressure,MATCH(1,RV_BMKCMORE,0))&amp;" PSI"</f>
        <v>50 PSI</v>
      </c>
      <c r="T27" s="205"/>
      <c r="U27" s="138">
        <f>IF(S26*120%&lt;=S26+15,S26+15,S26*120%)</f>
        <v>40</v>
      </c>
      <c r="V27" s="125"/>
      <c r="W27" s="63"/>
      <c r="X27" s="63"/>
      <c r="Y27" s="28"/>
      <c r="Z27" s="28"/>
      <c r="AA27" s="28"/>
      <c r="AB27" s="28"/>
      <c r="AC27" s="84"/>
    </row>
    <row r="28" spans="2:34">
      <c r="B28" s="83"/>
      <c r="C28" s="67"/>
      <c r="D28" s="67"/>
      <c r="E28" s="66"/>
      <c r="F28" s="66"/>
      <c r="G28" s="66"/>
      <c r="H28" s="66"/>
      <c r="I28" s="66"/>
      <c r="J28" s="66"/>
      <c r="K28" s="66"/>
      <c r="L28" s="66"/>
      <c r="M28" s="66"/>
      <c r="N28" s="66"/>
      <c r="O28" s="66"/>
      <c r="P28" s="34"/>
      <c r="Q28" s="63"/>
      <c r="R28" s="62"/>
      <c r="S28" s="62"/>
      <c r="T28" s="62"/>
      <c r="U28" s="62"/>
      <c r="V28" s="62"/>
      <c r="W28" s="62"/>
      <c r="X28" s="62"/>
      <c r="Y28" s="37"/>
      <c r="Z28" s="37"/>
      <c r="AA28" s="37"/>
      <c r="AB28" s="37"/>
      <c r="AC28" s="84"/>
    </row>
    <row r="29" spans="2:34">
      <c r="B29" s="83"/>
      <c r="C29" s="207"/>
      <c r="D29" s="207"/>
      <c r="E29" s="62"/>
      <c r="F29" s="62"/>
      <c r="G29" s="62"/>
      <c r="H29" s="62"/>
      <c r="I29" s="62"/>
      <c r="J29" s="62"/>
      <c r="K29" s="62"/>
      <c r="L29" s="62"/>
      <c r="M29" s="62"/>
      <c r="N29" s="62"/>
      <c r="O29" s="62"/>
      <c r="P29" s="34"/>
      <c r="Q29" s="62"/>
      <c r="R29" s="62"/>
      <c r="S29" s="62"/>
      <c r="T29" s="62"/>
      <c r="U29" s="62"/>
      <c r="V29" s="62"/>
      <c r="W29" s="62"/>
      <c r="X29" s="62"/>
      <c r="Y29" s="37"/>
      <c r="Z29" s="37"/>
      <c r="AA29" s="37"/>
      <c r="AB29" s="37"/>
      <c r="AC29" s="84"/>
    </row>
    <row r="30" spans="2:34" ht="16" thickBot="1">
      <c r="B30" s="85"/>
      <c r="C30" s="86"/>
      <c r="D30" s="86"/>
      <c r="E30" s="87"/>
      <c r="F30" s="87"/>
      <c r="G30" s="87"/>
      <c r="H30" s="87"/>
      <c r="I30" s="87"/>
      <c r="J30" s="87"/>
      <c r="K30" s="87"/>
      <c r="L30" s="87"/>
      <c r="M30" s="87"/>
      <c r="N30" s="87"/>
      <c r="O30" s="87"/>
      <c r="P30" s="86"/>
      <c r="Q30" s="88"/>
      <c r="R30" s="88"/>
      <c r="S30" s="88"/>
      <c r="T30" s="88"/>
      <c r="U30" s="88"/>
      <c r="V30" s="88"/>
      <c r="W30" s="88"/>
      <c r="X30" s="88"/>
      <c r="Y30" s="89"/>
      <c r="Z30" s="89"/>
      <c r="AA30" s="89"/>
      <c r="AB30" s="89"/>
      <c r="AC30" s="91"/>
      <c r="AD30" s="23"/>
      <c r="AE30" s="23"/>
      <c r="AF30" s="23"/>
      <c r="AG30" s="23"/>
      <c r="AH30" s="23"/>
    </row>
    <row r="31" spans="2:34">
      <c r="B31" s="23"/>
      <c r="C31" s="54"/>
      <c r="D31" s="54"/>
      <c r="E31" s="54"/>
      <c r="F31" s="54"/>
      <c r="G31" s="54"/>
      <c r="H31" s="54"/>
      <c r="I31" s="25"/>
      <c r="J31" s="25"/>
      <c r="K31" s="25"/>
      <c r="L31" s="25"/>
      <c r="M31" s="25"/>
      <c r="N31" s="25"/>
      <c r="O31" s="25"/>
      <c r="P31" s="23"/>
      <c r="Q31" s="63"/>
      <c r="R31" s="63"/>
      <c r="S31" s="63"/>
      <c r="T31" s="63"/>
      <c r="U31" s="63"/>
      <c r="V31" s="63"/>
      <c r="W31" s="63"/>
      <c r="X31" s="63"/>
      <c r="Y31" s="28"/>
      <c r="Z31" s="28"/>
      <c r="AA31" s="28"/>
      <c r="AB31" s="28"/>
      <c r="AC31" s="23"/>
      <c r="AD31" s="23"/>
      <c r="AE31" s="23"/>
      <c r="AF31" s="23"/>
      <c r="AG31" s="23"/>
      <c r="AH31" s="23"/>
    </row>
    <row r="32" spans="2:34" ht="16" customHeight="1">
      <c r="B32" s="23"/>
      <c r="C32" s="54"/>
      <c r="D32" s="54"/>
      <c r="E32" s="54"/>
      <c r="F32" s="54"/>
      <c r="L32" s="29"/>
      <c r="M32" s="30"/>
      <c r="N32" s="30"/>
      <c r="O32" s="23"/>
      <c r="P32" s="23"/>
      <c r="Q32" s="23"/>
      <c r="R32" s="23"/>
      <c r="S32" s="23"/>
      <c r="T32" s="23"/>
      <c r="U32" s="23"/>
      <c r="V32" s="23"/>
      <c r="W32" s="23"/>
      <c r="X32" s="23"/>
      <c r="Y32" s="23"/>
      <c r="Z32" s="23"/>
      <c r="AA32" s="23"/>
      <c r="AB32" s="23"/>
      <c r="AC32" s="23"/>
      <c r="AD32" s="23"/>
      <c r="AE32" s="23"/>
      <c r="AF32" s="23"/>
      <c r="AG32" s="23"/>
      <c r="AH32" s="23"/>
    </row>
    <row r="33" spans="2:34">
      <c r="B33" s="23"/>
      <c r="C33" s="54"/>
      <c r="D33" s="54"/>
      <c r="E33" s="23"/>
      <c r="F33" s="23"/>
      <c r="G33" s="56"/>
      <c r="H33" s="56"/>
      <c r="I33" s="56"/>
      <c r="J33" s="56"/>
      <c r="K33" s="34"/>
      <c r="L33" s="23"/>
      <c r="M33" s="23"/>
      <c r="N33" s="23"/>
      <c r="O33" s="23"/>
      <c r="P33" s="23"/>
      <c r="Q33" s="23"/>
      <c r="R33" s="23"/>
      <c r="S33" s="23"/>
      <c r="T33" s="23"/>
      <c r="U33" s="23"/>
      <c r="V33" s="23"/>
      <c r="W33" s="23"/>
      <c r="X33" s="23"/>
      <c r="Y33" s="23"/>
      <c r="Z33" s="23"/>
      <c r="AA33" s="23"/>
      <c r="AB33" s="23"/>
      <c r="AC33" s="23"/>
      <c r="AD33" s="23"/>
      <c r="AE33" s="23"/>
      <c r="AF33" s="23"/>
      <c r="AG33" s="23"/>
      <c r="AH33" s="23"/>
    </row>
    <row r="34" spans="2:34">
      <c r="B34" s="23"/>
      <c r="C34" s="54"/>
      <c r="D34" s="54"/>
      <c r="E34" s="54"/>
      <c r="F34" s="54"/>
      <c r="G34" s="54"/>
      <c r="H34" s="54"/>
      <c r="I34" s="34"/>
      <c r="J34" s="34"/>
      <c r="K34" s="34"/>
      <c r="L34" s="54"/>
      <c r="M34" s="54"/>
      <c r="N34" s="34"/>
      <c r="O34" s="34"/>
      <c r="P34" s="34"/>
      <c r="Q34" s="23"/>
      <c r="R34" s="34"/>
      <c r="S34" s="34"/>
      <c r="T34" s="34"/>
      <c r="U34" s="23"/>
      <c r="V34" s="23"/>
      <c r="W34" s="23"/>
      <c r="X34" s="23"/>
      <c r="Y34" s="23"/>
      <c r="Z34" s="23"/>
      <c r="AA34" s="23"/>
      <c r="AB34" s="23"/>
      <c r="AC34" s="23"/>
      <c r="AD34" s="23"/>
      <c r="AE34" s="23"/>
      <c r="AF34" s="23"/>
      <c r="AG34" s="23"/>
      <c r="AH34" s="23"/>
    </row>
    <row r="35" spans="2:34">
      <c r="B35" s="23"/>
      <c r="C35" s="54"/>
      <c r="D35" s="54"/>
      <c r="E35" s="54"/>
      <c r="F35" s="54"/>
      <c r="G35" s="54"/>
      <c r="H35" s="54"/>
      <c r="I35" s="34"/>
      <c r="J35" s="34"/>
      <c r="K35" s="34"/>
      <c r="L35" s="54"/>
      <c r="M35" s="54"/>
      <c r="N35" s="34"/>
      <c r="O35" s="34"/>
      <c r="P35" s="34"/>
      <c r="Q35" s="54"/>
      <c r="R35" s="34"/>
      <c r="S35" s="34"/>
      <c r="T35" s="34"/>
      <c r="U35" s="54"/>
      <c r="V35" s="24"/>
      <c r="W35" s="24"/>
      <c r="X35" s="54"/>
      <c r="Y35" s="54"/>
      <c r="Z35" s="54"/>
      <c r="AA35" s="54"/>
      <c r="AB35" s="54"/>
      <c r="AC35" s="23"/>
      <c r="AD35" s="23"/>
      <c r="AE35" s="23"/>
      <c r="AF35" s="23"/>
      <c r="AG35" s="23"/>
      <c r="AH35" s="23"/>
    </row>
    <row r="36" spans="2:34">
      <c r="B36" s="23"/>
      <c r="C36" s="54"/>
      <c r="D36" s="23"/>
      <c r="E36" s="23"/>
      <c r="F36" s="23"/>
      <c r="G36" s="24"/>
      <c r="H36" s="24"/>
      <c r="I36" s="24"/>
      <c r="J36" s="24"/>
      <c r="K36" s="54"/>
      <c r="L36" s="54"/>
      <c r="M36" s="54"/>
      <c r="N36" s="30"/>
      <c r="O36" s="54"/>
      <c r="P36" s="54"/>
      <c r="Q36" s="54"/>
      <c r="R36" s="54"/>
      <c r="S36" s="24"/>
      <c r="T36" s="24"/>
      <c r="U36" s="24"/>
      <c r="V36" s="24"/>
      <c r="W36" s="24"/>
      <c r="X36" s="54"/>
      <c r="Y36" s="54"/>
      <c r="Z36" s="54"/>
      <c r="AA36" s="54"/>
      <c r="AB36" s="54"/>
      <c r="AC36" s="23"/>
      <c r="AD36" s="23"/>
      <c r="AE36" s="23"/>
      <c r="AF36" s="23"/>
      <c r="AG36" s="23"/>
      <c r="AH36" s="23"/>
    </row>
    <row r="37" spans="2:34">
      <c r="B37" s="23"/>
      <c r="C37" s="31"/>
      <c r="D37" s="24"/>
      <c r="E37" s="24"/>
      <c r="F37" s="24"/>
      <c r="G37" s="23"/>
      <c r="H37" s="23"/>
      <c r="I37" s="23"/>
      <c r="J37" s="23"/>
      <c r="K37" s="23"/>
      <c r="L37" s="23"/>
      <c r="M37" s="23"/>
      <c r="N37" s="23"/>
      <c r="O37" s="54"/>
      <c r="P37" s="54"/>
      <c r="Q37" s="54"/>
      <c r="R37" s="24"/>
      <c r="S37" s="24"/>
      <c r="T37" s="24"/>
      <c r="U37" s="24"/>
      <c r="V37" s="24"/>
      <c r="W37" s="24"/>
      <c r="X37" s="54"/>
      <c r="Y37" s="54"/>
      <c r="Z37" s="54"/>
      <c r="AA37" s="54"/>
      <c r="AB37" s="54"/>
      <c r="AC37" s="23"/>
      <c r="AD37" s="23"/>
      <c r="AE37" s="23"/>
      <c r="AF37" s="23"/>
      <c r="AG37" s="23"/>
      <c r="AH37" s="23"/>
    </row>
    <row r="38" spans="2:34">
      <c r="B38" s="23"/>
      <c r="C38" s="24"/>
      <c r="D38" s="24"/>
      <c r="E38" s="24"/>
      <c r="F38" s="24"/>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row>
    <row r="39" spans="2:34">
      <c r="B39" s="23"/>
      <c r="C39" s="24"/>
      <c r="D39" s="24"/>
      <c r="E39" s="56"/>
      <c r="F39" s="56"/>
      <c r="G39" s="57"/>
      <c r="H39" s="57"/>
      <c r="I39" s="57"/>
      <c r="J39" s="55"/>
      <c r="K39" s="55"/>
      <c r="L39" s="55"/>
      <c r="M39" s="56"/>
      <c r="N39" s="56"/>
      <c r="O39" s="56"/>
      <c r="P39" s="58"/>
      <c r="Q39" s="58"/>
      <c r="R39" s="58"/>
      <c r="S39" s="56"/>
      <c r="T39" s="56"/>
      <c r="U39" s="56"/>
      <c r="V39" s="56"/>
      <c r="W39" s="56"/>
      <c r="X39" s="56"/>
      <c r="Y39" s="56"/>
      <c r="Z39" s="56"/>
      <c r="AA39" s="56"/>
      <c r="AB39" s="56"/>
      <c r="AC39" s="23"/>
      <c r="AD39" s="23"/>
      <c r="AE39" s="23"/>
      <c r="AF39" s="23"/>
      <c r="AG39" s="23"/>
      <c r="AH39" s="23"/>
    </row>
    <row r="40" spans="2:34">
      <c r="B40" s="23"/>
      <c r="C40" s="23"/>
      <c r="D40" s="23"/>
      <c r="E40" s="58"/>
      <c r="F40" s="58"/>
      <c r="G40" s="58"/>
      <c r="H40" s="58"/>
      <c r="I40" s="58"/>
      <c r="J40" s="56"/>
      <c r="K40" s="56"/>
      <c r="L40" s="56"/>
      <c r="M40" s="56"/>
      <c r="N40" s="56"/>
      <c r="O40" s="56"/>
      <c r="P40" s="58"/>
      <c r="Q40" s="58"/>
      <c r="R40" s="58"/>
      <c r="S40" s="56"/>
      <c r="T40" s="56"/>
      <c r="U40" s="56"/>
      <c r="V40" s="56"/>
      <c r="W40" s="56"/>
      <c r="X40" s="56"/>
      <c r="Y40" s="56"/>
      <c r="Z40" s="56"/>
      <c r="AA40" s="56"/>
      <c r="AB40" s="56"/>
      <c r="AC40" s="23"/>
      <c r="AD40" s="23"/>
      <c r="AE40" s="23"/>
      <c r="AF40" s="23"/>
      <c r="AG40" s="23"/>
      <c r="AH40" s="23"/>
    </row>
    <row r="41" spans="2:34">
      <c r="B41" s="23"/>
      <c r="C41" s="29"/>
      <c r="D41" s="30"/>
      <c r="E41" s="56"/>
      <c r="F41" s="56"/>
      <c r="G41" s="56"/>
      <c r="H41" s="56"/>
      <c r="I41" s="56"/>
      <c r="J41" s="56"/>
      <c r="K41" s="56"/>
      <c r="L41" s="56"/>
      <c r="M41" s="56"/>
      <c r="N41" s="56"/>
      <c r="O41" s="56"/>
      <c r="P41" s="56"/>
      <c r="Q41" s="56"/>
      <c r="R41" s="56"/>
      <c r="S41" s="56"/>
      <c r="T41" s="56"/>
      <c r="U41" s="56"/>
      <c r="V41" s="56"/>
      <c r="W41" s="56"/>
      <c r="X41" s="56"/>
      <c r="Y41" s="56"/>
      <c r="Z41" s="56"/>
      <c r="AA41" s="56"/>
      <c r="AB41" s="56"/>
      <c r="AC41" s="23"/>
      <c r="AD41" s="23"/>
      <c r="AE41" s="23"/>
      <c r="AF41" s="23"/>
      <c r="AG41" s="23"/>
      <c r="AH41" s="23"/>
    </row>
    <row r="42" spans="2:34">
      <c r="B42" s="23"/>
      <c r="C42" s="23"/>
      <c r="D42" s="23"/>
      <c r="E42" s="56"/>
      <c r="F42" s="56"/>
      <c r="G42" s="56"/>
      <c r="H42" s="56"/>
      <c r="I42" s="56"/>
      <c r="J42" s="56"/>
      <c r="K42" s="56"/>
      <c r="L42" s="56"/>
      <c r="M42" s="56"/>
      <c r="N42" s="56"/>
      <c r="O42" s="56"/>
      <c r="P42" s="56"/>
      <c r="Q42" s="56"/>
      <c r="R42" s="56"/>
      <c r="S42" s="56"/>
      <c r="T42" s="56"/>
      <c r="U42" s="56"/>
      <c r="V42" s="56"/>
      <c r="W42" s="56"/>
      <c r="X42" s="56"/>
      <c r="Y42" s="56"/>
      <c r="Z42" s="56"/>
      <c r="AA42" s="56"/>
      <c r="AB42" s="56"/>
      <c r="AC42" s="23"/>
      <c r="AD42" s="23"/>
      <c r="AE42" s="23"/>
      <c r="AF42" s="23"/>
      <c r="AG42" s="23"/>
      <c r="AH42" s="23"/>
    </row>
    <row r="43" spans="2:34">
      <c r="B43" s="23"/>
      <c r="C43" s="29"/>
      <c r="D43" s="30"/>
      <c r="E43" s="30"/>
      <c r="F43" s="30"/>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row>
    <row r="44" spans="2:34">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row>
    <row r="45" spans="2:34">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row>
    <row r="46" spans="2:34">
      <c r="B46" s="23"/>
      <c r="C46" s="54"/>
      <c r="D46" s="24"/>
      <c r="E46" s="24"/>
      <c r="F46" s="24"/>
      <c r="G46" s="54"/>
      <c r="H46" s="54"/>
      <c r="I46" s="54"/>
      <c r="J46" s="54"/>
      <c r="K46" s="54"/>
      <c r="L46" s="54"/>
      <c r="M46" s="24"/>
      <c r="N46" s="24"/>
      <c r="O46" s="24"/>
      <c r="P46" s="54"/>
      <c r="Q46" s="24"/>
      <c r="R46" s="24"/>
      <c r="S46" s="24"/>
      <c r="T46" s="23"/>
      <c r="U46" s="23"/>
      <c r="V46" s="23"/>
      <c r="W46" s="23"/>
      <c r="X46" s="23"/>
      <c r="Y46" s="23"/>
      <c r="Z46" s="23"/>
      <c r="AA46" s="23"/>
      <c r="AB46" s="23"/>
      <c r="AC46" s="23"/>
      <c r="AD46" s="23"/>
      <c r="AE46" s="23"/>
      <c r="AF46" s="23"/>
      <c r="AG46" s="23"/>
      <c r="AH46" s="23"/>
    </row>
    <row r="47" spans="2:34">
      <c r="B47" s="23"/>
      <c r="C47" s="54"/>
      <c r="D47" s="24"/>
      <c r="E47" s="24"/>
      <c r="F47" s="24"/>
      <c r="G47" s="54"/>
      <c r="H47" s="54"/>
      <c r="I47" s="54"/>
      <c r="J47" s="54"/>
      <c r="K47" s="54"/>
      <c r="L47" s="54"/>
      <c r="M47" s="24"/>
      <c r="N47" s="24"/>
      <c r="O47" s="24"/>
      <c r="P47" s="24"/>
      <c r="Q47" s="24"/>
      <c r="R47" s="24"/>
      <c r="S47" s="24"/>
      <c r="T47" s="23"/>
      <c r="U47" s="23"/>
      <c r="V47" s="23"/>
      <c r="W47" s="23"/>
      <c r="X47" s="23"/>
      <c r="Y47" s="23"/>
      <c r="Z47" s="23"/>
      <c r="AA47" s="23"/>
      <c r="AB47" s="23"/>
      <c r="AC47" s="23"/>
      <c r="AD47" s="23"/>
      <c r="AE47" s="23"/>
      <c r="AF47" s="23"/>
      <c r="AG47" s="23"/>
      <c r="AH47" s="23"/>
    </row>
    <row r="48" spans="2:34">
      <c r="B48" s="23"/>
      <c r="C48" s="54"/>
      <c r="D48" s="24"/>
      <c r="E48" s="24"/>
      <c r="F48" s="24"/>
      <c r="G48" s="54"/>
      <c r="H48" s="54"/>
      <c r="I48" s="54"/>
      <c r="J48" s="54"/>
      <c r="K48" s="54"/>
      <c r="L48" s="54"/>
      <c r="M48" s="24"/>
      <c r="N48" s="24"/>
      <c r="O48" s="24"/>
      <c r="P48" s="24"/>
      <c r="Q48" s="24"/>
      <c r="R48" s="24"/>
      <c r="S48" s="24"/>
      <c r="T48" s="23"/>
      <c r="U48" s="23"/>
      <c r="V48" s="23"/>
      <c r="W48" s="23"/>
      <c r="X48" s="23"/>
      <c r="Y48" s="23"/>
      <c r="Z48" s="23"/>
      <c r="AA48" s="23"/>
      <c r="AB48" s="23"/>
      <c r="AC48" s="23"/>
      <c r="AD48" s="23"/>
      <c r="AE48" s="23"/>
      <c r="AF48" s="23"/>
      <c r="AG48" s="23"/>
      <c r="AH48" s="23"/>
    </row>
    <row r="49" spans="2:34">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row>
    <row r="50" spans="2:34">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row>
    <row r="51" spans="2:34">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row>
    <row r="52" spans="2:34">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row>
    <row r="53" spans="2:34">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row>
    <row r="54" spans="2:34">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row>
    <row r="55" spans="2:34">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row>
    <row r="56" spans="2:34">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row>
    <row r="57" spans="2:34">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row>
    <row r="58" spans="2:34">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row>
    <row r="59" spans="2:34">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row>
    <row r="60" spans="2:34">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row>
    <row r="61" spans="2:34">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row>
    <row r="62" spans="2:34">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row>
    <row r="63" spans="2:34">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row>
    <row r="64" spans="2:34">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row>
    <row r="65" spans="2:34">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row>
    <row r="66" spans="2:34">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row>
    <row r="67" spans="2:34">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row>
    <row r="68" spans="2:34">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row>
    <row r="69" spans="2:34">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row>
    <row r="70" spans="2:34">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row>
    <row r="71" spans="2:34">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row>
    <row r="72" spans="2:34">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row>
    <row r="73" spans="2:34">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row>
    <row r="74" spans="2:34">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row>
    <row r="75" spans="2:34">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row>
    <row r="76" spans="2:34">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row>
    <row r="77" spans="2:34">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row>
    <row r="78" spans="2:34">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row>
    <row r="79" spans="2:34">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row>
    <row r="80" spans="2:34">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row>
    <row r="81" spans="2:34">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row>
    <row r="82" spans="2:34">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row>
    <row r="83" spans="2:34">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row>
    <row r="84" spans="2:34">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row>
    <row r="85" spans="2:34">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row>
    <row r="86" spans="2:34">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row>
    <row r="87" spans="2:34">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row>
    <row r="88" spans="2:34">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row>
    <row r="89" spans="2:34">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row>
    <row r="90" spans="2:34">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row>
    <row r="91" spans="2:34">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row>
    <row r="92" spans="2:34">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row>
  </sheetData>
  <sheetProtection algorithmName="SHA-512" hashValue="fDBm12ChBt5HRF1yXv/kDe5uco/LOajzq4vgRiukVeh0ij1edkEpUI6ff3efRx7I+nsRlEwVVGCiJssKiHuFHw==" saltValue="+PMQJWrOT9gzjj1azC47fg==" spinCount="100000" sheet="1" objects="1" scenarios="1"/>
  <mergeCells count="30">
    <mergeCell ref="C14:E15"/>
    <mergeCell ref="C13:E13"/>
    <mergeCell ref="M2:U2"/>
    <mergeCell ref="C10:AB10"/>
    <mergeCell ref="C11:E11"/>
    <mergeCell ref="O4:S4"/>
    <mergeCell ref="C6:E6"/>
    <mergeCell ref="G6:Z6"/>
    <mergeCell ref="I7:P7"/>
    <mergeCell ref="Q7:S7"/>
    <mergeCell ref="T7:V7"/>
    <mergeCell ref="L11:N12"/>
    <mergeCell ref="O11:Q12"/>
    <mergeCell ref="R11:U12"/>
    <mergeCell ref="C29:D29"/>
    <mergeCell ref="I11:K11"/>
    <mergeCell ref="I12:K14"/>
    <mergeCell ref="C19:P26"/>
    <mergeCell ref="C12:E12"/>
    <mergeCell ref="F11:H12"/>
    <mergeCell ref="L13:N14"/>
    <mergeCell ref="O13:Q14"/>
    <mergeCell ref="Q19:X19"/>
    <mergeCell ref="Q26:R26"/>
    <mergeCell ref="T26:V26"/>
    <mergeCell ref="Q27:R27"/>
    <mergeCell ref="S27:T27"/>
    <mergeCell ref="R13:U15"/>
    <mergeCell ref="I15:K15"/>
    <mergeCell ref="F14:H15"/>
  </mergeCells>
  <conditionalFormatting sqref="L9:N9">
    <cfRule type="containsText" dxfId="34" priority="11" operator="containsText" text="80">
      <formula>NOT(ISERROR(SEARCH("80",L9)))</formula>
    </cfRule>
  </conditionalFormatting>
  <conditionalFormatting sqref="T9">
    <cfRule type="containsText" dxfId="33" priority="10" operator="containsText" text="460">
      <formula>NOT(ISERROR(SEARCH("460",T9)))</formula>
    </cfRule>
  </conditionalFormatting>
  <conditionalFormatting sqref="U9">
    <cfRule type="containsText" dxfId="32" priority="8" operator="containsText" text="19">
      <formula>NOT(ISERROR(SEARCH("19",U9)))</formula>
    </cfRule>
    <cfRule type="containsText" dxfId="31" priority="9" operator="containsText" text="10">
      <formula>NOT(ISERROR(SEARCH("10",U9)))</formula>
    </cfRule>
    <cfRule type="containsText" dxfId="30" priority="2" operator="containsText" text="23">
      <formula>NOT(ISERROR(SEARCH("23",U9)))</formula>
    </cfRule>
  </conditionalFormatting>
  <conditionalFormatting sqref="V9 Y9:Z9">
    <cfRule type="containsText" dxfId="29" priority="7" operator="containsText" text="3">
      <formula>NOT(ISERROR(SEARCH("3",V9)))</formula>
    </cfRule>
  </conditionalFormatting>
  <conditionalFormatting sqref="Z11 V41">
    <cfRule type="expression" dxfId="28" priority="6">
      <formula>AND($R$9&lt;3000)=TRUE</formula>
    </cfRule>
  </conditionalFormatting>
  <conditionalFormatting sqref="V39">
    <cfRule type="expression" dxfId="27" priority="5">
      <formula>AND($R$9&lt;3000)=TRUE</formula>
    </cfRule>
  </conditionalFormatting>
  <conditionalFormatting sqref="R11">
    <cfRule type="expression" dxfId="26" priority="3">
      <formula>AND($Q$9&lt;3000)=TRUE</formula>
    </cfRule>
  </conditionalFormatting>
  <conditionalFormatting sqref="V9">
    <cfRule type="containsText" dxfId="25" priority="1" operator="containsText" text="11">
      <formula>NOT(ISERROR(SEARCH("11",V9)))</formula>
    </cfRule>
  </conditionalFormatting>
  <dataValidations count="1">
    <dataValidation type="list" allowBlank="1" showInputMessage="1" showErrorMessage="1" sqref="O4:S4" xr:uid="{00000000-0002-0000-0100-000000000000}">
      <formula1>BMKEdgei</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249977111117893"/>
  </sheetPr>
  <dimension ref="B1:AH92"/>
  <sheetViews>
    <sheetView topLeftCell="P1" workbookViewId="0">
      <selection activeCell="W32" sqref="W32"/>
    </sheetView>
  </sheetViews>
  <sheetFormatPr defaultColWidth="10.83203125" defaultRowHeight="15.5"/>
  <cols>
    <col min="1" max="2" width="2.58203125" style="17" customWidth="1"/>
    <col min="3" max="28" width="11.25" style="17" customWidth="1"/>
    <col min="29" max="29" width="2.58203125" style="17" customWidth="1"/>
    <col min="30" max="16384" width="10.83203125" style="17"/>
  </cols>
  <sheetData>
    <row r="1" spans="2:29" ht="16" thickBot="1"/>
    <row r="2" spans="2:29" ht="25" customHeight="1" thickBot="1">
      <c r="B2" s="76"/>
      <c r="C2" s="77"/>
      <c r="D2" s="78"/>
      <c r="E2" s="79"/>
      <c r="F2" s="80"/>
      <c r="G2" s="80"/>
      <c r="H2" s="80"/>
      <c r="I2" s="80"/>
      <c r="J2" s="80"/>
      <c r="K2" s="80"/>
      <c r="L2" s="80"/>
      <c r="M2" s="80"/>
      <c r="N2" s="80"/>
      <c r="O2" s="224" t="s">
        <v>120</v>
      </c>
      <c r="P2" s="224"/>
      <c r="Q2" s="224"/>
      <c r="R2" s="224"/>
      <c r="S2" s="224"/>
      <c r="T2" s="81"/>
      <c r="U2" s="81"/>
      <c r="V2" s="81"/>
      <c r="W2" s="81"/>
      <c r="X2" s="81"/>
      <c r="Y2" s="81"/>
      <c r="Z2" s="81"/>
      <c r="AA2" s="81"/>
      <c r="AB2" s="90" t="s">
        <v>103</v>
      </c>
      <c r="AC2" s="82"/>
    </row>
    <row r="3" spans="2:29" ht="16" customHeight="1">
      <c r="B3" s="83"/>
      <c r="C3" s="34"/>
      <c r="D3" s="34"/>
      <c r="E3" s="34"/>
      <c r="F3" s="34"/>
      <c r="G3" s="34"/>
      <c r="H3" s="34"/>
      <c r="I3" s="34"/>
      <c r="J3" s="34"/>
      <c r="K3" s="34"/>
      <c r="L3" s="34"/>
      <c r="M3" s="34"/>
      <c r="N3" s="34"/>
      <c r="O3" s="34"/>
      <c r="P3" s="34"/>
      <c r="Q3" s="34"/>
      <c r="R3" s="34"/>
      <c r="S3" s="34"/>
      <c r="T3" s="34"/>
      <c r="U3" s="34"/>
      <c r="V3" s="34"/>
      <c r="W3" s="34"/>
      <c r="X3" s="34"/>
      <c r="Y3" s="34"/>
      <c r="Z3" s="34"/>
      <c r="AA3" s="34"/>
      <c r="AB3" s="34"/>
      <c r="AC3" s="84"/>
    </row>
    <row r="4" spans="2:29" ht="18.5">
      <c r="B4" s="83"/>
      <c r="C4" s="34"/>
      <c r="D4" s="34"/>
      <c r="E4" s="34"/>
      <c r="F4" s="34"/>
      <c r="G4" s="34"/>
      <c r="H4" s="34"/>
      <c r="I4" s="34"/>
      <c r="J4" s="34"/>
      <c r="K4" s="34"/>
      <c r="L4" s="34"/>
      <c r="M4" s="34"/>
      <c r="N4" s="174" t="s">
        <v>269</v>
      </c>
      <c r="O4" s="225" t="s">
        <v>125</v>
      </c>
      <c r="P4" s="226"/>
      <c r="Q4" s="226"/>
      <c r="R4" s="226"/>
      <c r="S4" s="226"/>
      <c r="T4" s="35"/>
      <c r="U4" s="35"/>
      <c r="V4" s="34"/>
      <c r="W4" s="34"/>
      <c r="X4" s="34"/>
      <c r="Y4" s="34"/>
      <c r="Z4" s="34"/>
      <c r="AA4" s="34"/>
      <c r="AB4" s="34"/>
      <c r="AC4" s="84"/>
    </row>
    <row r="5" spans="2:29" ht="16" thickBot="1">
      <c r="B5" s="83"/>
      <c r="C5" s="34"/>
      <c r="D5" s="34"/>
      <c r="E5" s="34"/>
      <c r="F5" s="34"/>
      <c r="G5" s="34"/>
      <c r="H5" s="34"/>
      <c r="I5" s="34"/>
      <c r="J5" s="34"/>
      <c r="K5" s="34"/>
      <c r="L5" s="34"/>
      <c r="M5" s="34"/>
      <c r="N5" s="34"/>
      <c r="O5" s="34"/>
      <c r="P5" s="34"/>
      <c r="Q5" s="34"/>
      <c r="R5" s="34"/>
      <c r="S5" s="34"/>
      <c r="T5" s="34"/>
      <c r="U5" s="34"/>
      <c r="V5" s="34"/>
      <c r="W5" s="34"/>
      <c r="X5" s="34"/>
      <c r="Y5" s="34"/>
      <c r="Z5" s="34"/>
      <c r="AA5" s="34"/>
      <c r="AB5" s="34"/>
      <c r="AC5" s="84"/>
    </row>
    <row r="6" spans="2:29" ht="18" customHeight="1" thickBot="1">
      <c r="B6" s="83"/>
      <c r="C6" s="227"/>
      <c r="D6" s="228"/>
      <c r="E6" s="228"/>
      <c r="F6" s="96"/>
      <c r="G6" s="229" t="s">
        <v>97</v>
      </c>
      <c r="H6" s="229"/>
      <c r="I6" s="229"/>
      <c r="J6" s="229"/>
      <c r="K6" s="229"/>
      <c r="L6" s="229"/>
      <c r="M6" s="229"/>
      <c r="N6" s="229"/>
      <c r="O6" s="229"/>
      <c r="P6" s="229"/>
      <c r="Q6" s="229"/>
      <c r="R6" s="229"/>
      <c r="S6" s="229"/>
      <c r="T6" s="229"/>
      <c r="U6" s="229"/>
      <c r="V6" s="229"/>
      <c r="W6" s="229"/>
      <c r="X6" s="229"/>
      <c r="Y6" s="229"/>
      <c r="Z6" s="229"/>
      <c r="AA6" s="97"/>
      <c r="AB6" s="75"/>
      <c r="AC6" s="84"/>
    </row>
    <row r="7" spans="2:29" ht="16" thickBot="1">
      <c r="B7" s="83"/>
      <c r="C7" s="7"/>
      <c r="D7" s="7"/>
      <c r="E7" s="7"/>
      <c r="F7" s="7"/>
      <c r="G7" s="7"/>
      <c r="H7" s="9"/>
      <c r="I7" s="227" t="s">
        <v>0</v>
      </c>
      <c r="J7" s="230"/>
      <c r="K7" s="230"/>
      <c r="L7" s="230"/>
      <c r="M7" s="230"/>
      <c r="N7" s="230"/>
      <c r="O7" s="230"/>
      <c r="P7" s="231"/>
      <c r="Q7" s="227" t="s">
        <v>1</v>
      </c>
      <c r="R7" s="230"/>
      <c r="S7" s="231"/>
      <c r="T7" s="227" t="s">
        <v>2</v>
      </c>
      <c r="U7" s="230"/>
      <c r="V7" s="231"/>
      <c r="W7" s="8"/>
      <c r="X7" s="8"/>
      <c r="Y7" s="74"/>
      <c r="Z7" s="74"/>
      <c r="AA7" s="72"/>
      <c r="AB7" s="9"/>
      <c r="AC7" s="84"/>
    </row>
    <row r="8" spans="2:29" ht="43" customHeight="1" thickBot="1">
      <c r="B8" s="83"/>
      <c r="C8" s="53" t="s">
        <v>18</v>
      </c>
      <c r="D8" s="53" t="s">
        <v>3</v>
      </c>
      <c r="E8" s="53" t="s">
        <v>4</v>
      </c>
      <c r="F8" s="53" t="s">
        <v>24</v>
      </c>
      <c r="G8" s="53" t="s">
        <v>144</v>
      </c>
      <c r="H8" s="53" t="s">
        <v>145</v>
      </c>
      <c r="I8" s="53" t="s">
        <v>81</v>
      </c>
      <c r="J8" s="53" t="s">
        <v>113</v>
      </c>
      <c r="K8" s="53" t="s">
        <v>19</v>
      </c>
      <c r="L8" s="53" t="s">
        <v>20</v>
      </c>
      <c r="M8" s="53" t="s">
        <v>84</v>
      </c>
      <c r="N8" s="53" t="s">
        <v>82</v>
      </c>
      <c r="O8" s="53" t="s">
        <v>21</v>
      </c>
      <c r="P8" s="53" t="s">
        <v>98</v>
      </c>
      <c r="Q8" s="59" t="s">
        <v>5</v>
      </c>
      <c r="R8" s="59" t="s">
        <v>22</v>
      </c>
      <c r="S8" s="59" t="s">
        <v>99</v>
      </c>
      <c r="T8" s="59" t="s">
        <v>61</v>
      </c>
      <c r="U8" s="59" t="s">
        <v>7</v>
      </c>
      <c r="V8" s="59" t="s">
        <v>166</v>
      </c>
      <c r="W8" s="53" t="s">
        <v>100</v>
      </c>
      <c r="X8" s="53" t="s">
        <v>25</v>
      </c>
      <c r="Y8" s="53" t="s">
        <v>6</v>
      </c>
      <c r="Z8" s="53" t="s">
        <v>116</v>
      </c>
      <c r="AA8" s="73" t="s">
        <v>114</v>
      </c>
      <c r="AB8" s="71" t="s">
        <v>8</v>
      </c>
      <c r="AC8" s="84"/>
    </row>
    <row r="9" spans="2:29" ht="39" customHeight="1" thickBot="1">
      <c r="B9" s="83"/>
      <c r="C9" s="61" t="s">
        <v>9</v>
      </c>
      <c r="D9" s="61" t="s">
        <v>10</v>
      </c>
      <c r="E9" s="61" t="s">
        <v>11</v>
      </c>
      <c r="F9" s="129" t="s">
        <v>112</v>
      </c>
      <c r="G9" s="59" t="str">
        <f>VLOOKUP($O4,MFCBoiler,6,FALSE)</f>
        <v>5154 / 5562</v>
      </c>
      <c r="H9" s="59">
        <f>VLOOKUP($O4,MFCBoiler,7,FALSE)</f>
        <v>92</v>
      </c>
      <c r="I9" s="123">
        <f>S26</f>
        <v>30</v>
      </c>
      <c r="J9" s="127">
        <f>VLOOKUP($O4,MFCBoiler,9,FALSE)</f>
        <v>724</v>
      </c>
      <c r="K9" s="128" t="str">
        <f>S27</f>
        <v>50 PSI</v>
      </c>
      <c r="L9" s="59">
        <f>VLOOKUP($O4,MFCBoiler,11,FALSE)</f>
        <v>80</v>
      </c>
      <c r="M9" s="60" t="s">
        <v>48</v>
      </c>
      <c r="N9" s="60" t="s">
        <v>48</v>
      </c>
      <c r="O9" s="59" t="str">
        <f>VLOOKUP($O4,MFCBoiler,14,FALSE)</f>
        <v>40 / 750</v>
      </c>
      <c r="P9" s="59" t="str">
        <f>VLOOKUP($O4,MFCBoiler,15,FALSE)</f>
        <v>1.9 PSIG @ 600 GPM</v>
      </c>
      <c r="Q9" s="59" t="str">
        <f>VLOOKUP($O4,MFCBoiler,16,FALSE)</f>
        <v>NAT. GAS/
#2 FUEL OIL</v>
      </c>
      <c r="R9" s="59">
        <f>VLOOKUP($O4,MFCBoiler,17,FALSE)</f>
        <v>6000</v>
      </c>
      <c r="S9" s="59" t="str">
        <f>VLOOKUP($O4,MFCBoiler,18,FALSE)</f>
        <v>28 - 56</v>
      </c>
      <c r="T9" s="61" t="str">
        <f>VLOOKUP($O4,MFCBoiler,19,FALSE)</f>
        <v>208/3/60
460/3/60
575/3/60</v>
      </c>
      <c r="U9" s="61" t="str">
        <f>VLOOKUP($O4,MFCBoiler,20,FALSE)</f>
        <v>16.8
7.6
6.2</v>
      </c>
      <c r="V9" s="129" t="str">
        <f>VLOOKUP($O4,MFCBoiler,21,FALSE)</f>
        <v>7.5 / 1.0</v>
      </c>
      <c r="W9" s="59" t="str">
        <f>VLOOKUP($O4,MFCBoiler,22,FALSE)</f>
        <v>193 x 71 x 101</v>
      </c>
      <c r="X9" s="59">
        <f>VLOOKUP($O4,MFCBoiler,23,FALSE)</f>
        <v>19403</v>
      </c>
      <c r="Y9" s="101" t="s">
        <v>47</v>
      </c>
      <c r="Z9" s="59" t="s">
        <v>176</v>
      </c>
      <c r="AA9" s="59" t="s">
        <v>115</v>
      </c>
      <c r="AB9" s="59" t="str">
        <f>VLOOKUP($O4,MFCBoiler,27,FALSE)</f>
        <v>MFC 6000</v>
      </c>
      <c r="AC9" s="84"/>
    </row>
    <row r="10" spans="2:29" ht="16.5" customHeight="1">
      <c r="B10" s="83"/>
      <c r="C10" s="218" t="s">
        <v>31</v>
      </c>
      <c r="D10" s="219"/>
      <c r="E10" s="219"/>
      <c r="F10" s="219"/>
      <c r="G10" s="219"/>
      <c r="H10" s="219"/>
      <c r="I10" s="219"/>
      <c r="J10" s="219"/>
      <c r="K10" s="219"/>
      <c r="L10" s="219"/>
      <c r="M10" s="219"/>
      <c r="N10" s="219"/>
      <c r="O10" s="219"/>
      <c r="P10" s="219"/>
      <c r="Q10" s="219"/>
      <c r="R10" s="219"/>
      <c r="S10" s="219"/>
      <c r="T10" s="219"/>
      <c r="U10" s="219"/>
      <c r="V10" s="219"/>
      <c r="W10" s="219"/>
      <c r="X10" s="219"/>
      <c r="Y10" s="219"/>
      <c r="Z10" s="219"/>
      <c r="AA10" s="219"/>
      <c r="AB10" s="220"/>
      <c r="AC10" s="84"/>
    </row>
    <row r="11" spans="2:29" ht="16.5" customHeight="1">
      <c r="B11" s="83"/>
      <c r="C11" s="214" t="s">
        <v>17</v>
      </c>
      <c r="D11" s="212"/>
      <c r="E11" s="212"/>
      <c r="F11" s="212" t="s">
        <v>189</v>
      </c>
      <c r="G11" s="212"/>
      <c r="H11" s="212"/>
      <c r="I11" s="212" t="s">
        <v>191</v>
      </c>
      <c r="J11" s="212"/>
      <c r="K11" s="212"/>
      <c r="L11" s="212" t="s">
        <v>193</v>
      </c>
      <c r="M11" s="212"/>
      <c r="N11" s="212"/>
      <c r="O11" s="212"/>
      <c r="P11" s="137"/>
      <c r="Q11" s="137"/>
      <c r="R11" s="167"/>
      <c r="S11" s="167"/>
      <c r="T11" s="167"/>
      <c r="U11" s="167"/>
      <c r="V11" s="167"/>
      <c r="W11" s="167"/>
      <c r="X11" s="177"/>
      <c r="Y11" s="177"/>
      <c r="Z11" s="167"/>
      <c r="AA11" s="167"/>
      <c r="AB11" s="68"/>
      <c r="AC11" s="84"/>
    </row>
    <row r="12" spans="2:29" ht="16.5" customHeight="1">
      <c r="B12" s="83"/>
      <c r="C12" s="214" t="e">
        <f>VLOOKUP(O4,Reference!A57:AC63,29,FALSE)</f>
        <v>#N/A</v>
      </c>
      <c r="D12" s="212"/>
      <c r="E12" s="212"/>
      <c r="F12" s="212"/>
      <c r="G12" s="212"/>
      <c r="H12" s="212"/>
      <c r="I12" s="212"/>
      <c r="J12" s="212"/>
      <c r="K12" s="212"/>
      <c r="L12" s="212"/>
      <c r="M12" s="212"/>
      <c r="N12" s="212"/>
      <c r="O12" s="212"/>
      <c r="P12" s="137"/>
      <c r="Q12" s="137"/>
      <c r="R12" s="167"/>
      <c r="S12" s="167"/>
      <c r="T12" s="167"/>
      <c r="U12" s="167"/>
      <c r="V12" s="167"/>
      <c r="W12" s="167"/>
      <c r="X12" s="177"/>
      <c r="Y12" s="177"/>
      <c r="Z12" s="167"/>
      <c r="AA12" s="167"/>
      <c r="AB12" s="68"/>
      <c r="AC12" s="84"/>
    </row>
    <row r="13" spans="2:29" ht="16.5" customHeight="1">
      <c r="B13" s="83"/>
      <c r="C13" s="214" t="s">
        <v>257</v>
      </c>
      <c r="D13" s="212"/>
      <c r="E13" s="212"/>
      <c r="F13" s="212" t="s">
        <v>190</v>
      </c>
      <c r="G13" s="212"/>
      <c r="H13" s="212"/>
      <c r="I13" s="212" t="s">
        <v>192</v>
      </c>
      <c r="J13" s="212"/>
      <c r="K13" s="212"/>
      <c r="L13" s="212" t="s">
        <v>194</v>
      </c>
      <c r="M13" s="212"/>
      <c r="N13" s="212"/>
      <c r="O13" s="212"/>
      <c r="P13" s="137"/>
      <c r="Q13" s="137"/>
      <c r="R13" s="167"/>
      <c r="S13" s="167"/>
      <c r="T13" s="167"/>
      <c r="U13" s="167"/>
      <c r="V13" s="167"/>
      <c r="W13" s="167"/>
      <c r="X13" s="177"/>
      <c r="Y13" s="177"/>
      <c r="Z13" s="167"/>
      <c r="AA13" s="167"/>
      <c r="AB13" s="68"/>
      <c r="AC13" s="84"/>
    </row>
    <row r="14" spans="2:29" ht="15.75" customHeight="1">
      <c r="B14" s="83"/>
      <c r="C14" s="214"/>
      <c r="D14" s="212"/>
      <c r="E14" s="212"/>
      <c r="F14" s="212"/>
      <c r="G14" s="212"/>
      <c r="H14" s="212"/>
      <c r="I14" s="212"/>
      <c r="J14" s="212"/>
      <c r="K14" s="212"/>
      <c r="L14" s="212"/>
      <c r="M14" s="212"/>
      <c r="N14" s="212"/>
      <c r="O14" s="212"/>
      <c r="P14" s="137"/>
      <c r="Q14" s="137"/>
      <c r="R14" s="167"/>
      <c r="S14" s="167"/>
      <c r="T14" s="167"/>
      <c r="U14" s="167"/>
      <c r="V14" s="167"/>
      <c r="W14" s="167"/>
      <c r="X14" s="177"/>
      <c r="Y14" s="177"/>
      <c r="Z14" s="167"/>
      <c r="AA14" s="167"/>
      <c r="AB14" s="68"/>
      <c r="AC14" s="84"/>
    </row>
    <row r="15" spans="2:29" ht="16.5" customHeight="1" thickBot="1">
      <c r="B15" s="83"/>
      <c r="C15" s="217"/>
      <c r="D15" s="213"/>
      <c r="E15" s="213"/>
      <c r="F15" s="168"/>
      <c r="G15" s="168"/>
      <c r="H15" s="168"/>
      <c r="I15" s="213"/>
      <c r="J15" s="213"/>
      <c r="K15" s="213"/>
      <c r="L15" s="178"/>
      <c r="M15" s="178"/>
      <c r="N15" s="178"/>
      <c r="O15" s="178"/>
      <c r="P15" s="178"/>
      <c r="Q15" s="178"/>
      <c r="R15" s="70"/>
      <c r="S15" s="70"/>
      <c r="T15" s="70"/>
      <c r="U15" s="168"/>
      <c r="V15" s="168"/>
      <c r="W15" s="168"/>
      <c r="X15" s="168"/>
      <c r="Y15" s="178"/>
      <c r="Z15" s="168"/>
      <c r="AA15" s="168"/>
      <c r="AB15" s="69"/>
      <c r="AC15" s="84"/>
    </row>
    <row r="16" spans="2:29" ht="16.5" customHeight="1">
      <c r="B16" s="83"/>
      <c r="C16" s="34"/>
      <c r="D16" s="34"/>
      <c r="E16" s="34"/>
      <c r="F16" s="34"/>
      <c r="G16" s="34"/>
      <c r="H16" s="34"/>
      <c r="L16" s="34"/>
      <c r="M16" s="34"/>
      <c r="N16" s="34"/>
      <c r="O16" s="34"/>
      <c r="P16" s="34"/>
      <c r="Q16" s="34"/>
      <c r="R16" s="34"/>
      <c r="S16" s="34"/>
      <c r="T16" s="34"/>
      <c r="U16" s="34"/>
      <c r="V16" s="34"/>
      <c r="W16" s="34"/>
      <c r="X16" s="34"/>
      <c r="Y16" s="34"/>
      <c r="Z16" s="34"/>
      <c r="AA16" s="34"/>
      <c r="AB16" s="34"/>
      <c r="AC16" s="84"/>
    </row>
    <row r="17" spans="2:34" ht="16.5" customHeight="1">
      <c r="B17" s="83"/>
      <c r="C17" s="34"/>
      <c r="D17" s="34"/>
      <c r="E17" s="34"/>
      <c r="F17" s="34"/>
      <c r="G17" s="34"/>
      <c r="H17" s="34"/>
      <c r="L17" s="34"/>
      <c r="M17" s="34"/>
      <c r="N17" s="34"/>
      <c r="O17" s="34"/>
      <c r="P17" s="34"/>
      <c r="Q17" s="34"/>
      <c r="R17" s="34"/>
      <c r="S17" s="34"/>
      <c r="T17" s="34"/>
      <c r="U17" s="34"/>
      <c r="V17" s="34"/>
      <c r="W17" s="34"/>
      <c r="X17" s="34"/>
      <c r="Y17" s="34"/>
      <c r="Z17" s="34"/>
      <c r="AA17" s="34"/>
      <c r="AB17" s="34"/>
      <c r="AC17" s="84"/>
    </row>
    <row r="18" spans="2:34">
      <c r="B18" s="83"/>
      <c r="C18" s="34"/>
      <c r="D18" s="34"/>
      <c r="E18" s="34"/>
      <c r="F18" s="34"/>
      <c r="G18" s="34"/>
      <c r="H18" s="34"/>
      <c r="L18" s="34"/>
      <c r="M18" s="34"/>
      <c r="N18" s="34"/>
      <c r="O18" s="34"/>
      <c r="P18" s="34"/>
      <c r="Q18" s="34"/>
      <c r="R18" s="34"/>
      <c r="S18" s="34"/>
      <c r="T18" s="34"/>
      <c r="U18" s="34"/>
      <c r="V18" s="34"/>
      <c r="W18" s="34"/>
      <c r="X18" s="34"/>
      <c r="Y18" s="34"/>
      <c r="Z18" s="34"/>
      <c r="AA18" s="34"/>
      <c r="AB18" s="34"/>
      <c r="AC18" s="84"/>
    </row>
    <row r="19" spans="2:34">
      <c r="B19" s="83"/>
      <c r="C19" s="208" t="s">
        <v>136</v>
      </c>
      <c r="D19" s="209"/>
      <c r="E19" s="209"/>
      <c r="F19" s="209"/>
      <c r="G19" s="209"/>
      <c r="H19" s="209"/>
      <c r="I19" s="209"/>
      <c r="J19" s="209"/>
      <c r="K19" s="209"/>
      <c r="L19" s="209"/>
      <c r="M19" s="209"/>
      <c r="N19" s="209"/>
      <c r="O19" s="209"/>
      <c r="P19" s="210"/>
      <c r="Q19" s="208" t="s">
        <v>93</v>
      </c>
      <c r="R19" s="211"/>
      <c r="S19" s="211"/>
      <c r="T19" s="211"/>
      <c r="U19" s="211"/>
      <c r="V19" s="211"/>
      <c r="W19" s="211"/>
      <c r="X19" s="211"/>
      <c r="Y19" s="28"/>
      <c r="Z19" s="28"/>
      <c r="AA19" s="28"/>
      <c r="AB19" s="28"/>
      <c r="AC19" s="84"/>
    </row>
    <row r="20" spans="2:34">
      <c r="B20" s="83"/>
      <c r="C20" s="209"/>
      <c r="D20" s="209"/>
      <c r="E20" s="209"/>
      <c r="F20" s="209"/>
      <c r="G20" s="209"/>
      <c r="H20" s="209"/>
      <c r="I20" s="209"/>
      <c r="J20" s="209"/>
      <c r="K20" s="209"/>
      <c r="L20" s="209"/>
      <c r="M20" s="209"/>
      <c r="N20" s="209"/>
      <c r="O20" s="209"/>
      <c r="P20" s="210"/>
      <c r="Q20" s="92"/>
      <c r="R20" s="93"/>
      <c r="S20" s="93"/>
      <c r="T20" s="93"/>
      <c r="U20" s="93"/>
      <c r="V20" s="93"/>
      <c r="W20" s="93"/>
      <c r="X20" s="93"/>
      <c r="Y20" s="28"/>
      <c r="Z20" s="28"/>
      <c r="AA20" s="28"/>
      <c r="AB20" s="28"/>
      <c r="AC20" s="84"/>
    </row>
    <row r="21" spans="2:34">
      <c r="B21" s="83"/>
      <c r="C21" s="209"/>
      <c r="D21" s="209"/>
      <c r="E21" s="209"/>
      <c r="F21" s="209"/>
      <c r="G21" s="209"/>
      <c r="H21" s="209"/>
      <c r="I21" s="209"/>
      <c r="J21" s="209"/>
      <c r="K21" s="209"/>
      <c r="L21" s="209"/>
      <c r="M21" s="209"/>
      <c r="N21" s="209"/>
      <c r="O21" s="209"/>
      <c r="P21" s="210"/>
      <c r="Q21" s="92" t="s">
        <v>86</v>
      </c>
      <c r="R21" s="93"/>
      <c r="S21" s="93"/>
      <c r="T21" s="93"/>
      <c r="U21" s="93"/>
      <c r="V21" s="93"/>
      <c r="W21" s="93"/>
      <c r="X21" s="93"/>
      <c r="Y21" s="28"/>
      <c r="Z21" s="28"/>
      <c r="AA21" s="28"/>
      <c r="AB21" s="28"/>
      <c r="AC21" s="84"/>
    </row>
    <row r="22" spans="2:34">
      <c r="B22" s="83"/>
      <c r="C22" s="209"/>
      <c r="D22" s="209"/>
      <c r="E22" s="209"/>
      <c r="F22" s="209"/>
      <c r="G22" s="209"/>
      <c r="H22" s="209"/>
      <c r="I22" s="209"/>
      <c r="J22" s="209"/>
      <c r="K22" s="209"/>
      <c r="L22" s="209"/>
      <c r="M22" s="209"/>
      <c r="N22" s="209"/>
      <c r="O22" s="209"/>
      <c r="P22" s="210"/>
      <c r="Q22" s="92" t="s">
        <v>87</v>
      </c>
      <c r="R22" s="93"/>
      <c r="S22" s="93"/>
      <c r="T22" s="93"/>
      <c r="U22" s="93"/>
      <c r="V22" s="93"/>
      <c r="W22" s="93"/>
      <c r="X22" s="93"/>
      <c r="Y22" s="28"/>
      <c r="Z22" s="28"/>
      <c r="AA22" s="28"/>
      <c r="AB22" s="28"/>
      <c r="AC22" s="84"/>
    </row>
    <row r="23" spans="2:34">
      <c r="B23" s="83"/>
      <c r="C23" s="209"/>
      <c r="D23" s="209"/>
      <c r="E23" s="209"/>
      <c r="F23" s="209"/>
      <c r="G23" s="209"/>
      <c r="H23" s="209"/>
      <c r="I23" s="209"/>
      <c r="J23" s="209"/>
      <c r="K23" s="209"/>
      <c r="L23" s="209"/>
      <c r="M23" s="209"/>
      <c r="N23" s="209"/>
      <c r="O23" s="209"/>
      <c r="P23" s="210"/>
      <c r="Q23" s="92" t="s">
        <v>88</v>
      </c>
      <c r="R23" s="93"/>
      <c r="S23" s="93"/>
      <c r="T23" s="93"/>
      <c r="U23" s="93"/>
      <c r="V23" s="93"/>
      <c r="W23" s="93"/>
      <c r="X23" s="93"/>
      <c r="Y23" s="28"/>
      <c r="Z23" s="28"/>
      <c r="AA23" s="28"/>
      <c r="AB23" s="28"/>
      <c r="AC23" s="84"/>
    </row>
    <row r="24" spans="2:34">
      <c r="B24" s="83"/>
      <c r="C24" s="209"/>
      <c r="D24" s="209"/>
      <c r="E24" s="209"/>
      <c r="F24" s="209"/>
      <c r="G24" s="209"/>
      <c r="H24" s="209"/>
      <c r="I24" s="209"/>
      <c r="J24" s="209"/>
      <c r="K24" s="209"/>
      <c r="L24" s="209"/>
      <c r="M24" s="209"/>
      <c r="N24" s="209"/>
      <c r="O24" s="209"/>
      <c r="P24" s="210"/>
      <c r="Q24" s="92"/>
      <c r="R24" s="93"/>
      <c r="S24" s="93"/>
      <c r="T24" s="93"/>
      <c r="U24" s="93"/>
      <c r="V24" s="93"/>
      <c r="W24" s="93"/>
      <c r="X24" s="93"/>
      <c r="Y24" s="28"/>
      <c r="Z24" s="28"/>
      <c r="AA24" s="28"/>
      <c r="AB24" s="28"/>
      <c r="AC24" s="84"/>
    </row>
    <row r="25" spans="2:34">
      <c r="B25" s="83"/>
      <c r="C25" s="209"/>
      <c r="D25" s="209"/>
      <c r="E25" s="209"/>
      <c r="F25" s="209"/>
      <c r="G25" s="209"/>
      <c r="H25" s="209"/>
      <c r="I25" s="209"/>
      <c r="J25" s="209"/>
      <c r="K25" s="209"/>
      <c r="L25" s="209"/>
      <c r="M25" s="209"/>
      <c r="N25" s="209"/>
      <c r="O25" s="209"/>
      <c r="P25" s="210"/>
      <c r="Q25" s="26"/>
      <c r="R25" s="27"/>
      <c r="S25" s="27"/>
      <c r="T25" s="27"/>
      <c r="U25" s="27"/>
      <c r="V25" s="27"/>
      <c r="W25" s="27"/>
      <c r="X25" s="27"/>
      <c r="Y25" s="36"/>
      <c r="Z25" s="36"/>
      <c r="AA25" s="36"/>
      <c r="AB25" s="36"/>
      <c r="AC25" s="84"/>
    </row>
    <row r="26" spans="2:34">
      <c r="B26" s="83"/>
      <c r="C26" s="209"/>
      <c r="D26" s="209"/>
      <c r="E26" s="209"/>
      <c r="F26" s="209"/>
      <c r="G26" s="209"/>
      <c r="H26" s="209"/>
      <c r="I26" s="209"/>
      <c r="J26" s="209"/>
      <c r="K26" s="209"/>
      <c r="L26" s="209"/>
      <c r="M26" s="209"/>
      <c r="N26" s="209"/>
      <c r="O26" s="209"/>
      <c r="P26" s="210"/>
      <c r="Q26" s="204" t="s">
        <v>89</v>
      </c>
      <c r="R26" s="205"/>
      <c r="S26" s="124">
        <v>30</v>
      </c>
      <c r="T26" s="205" t="s">
        <v>91</v>
      </c>
      <c r="U26" s="205"/>
      <c r="V26" s="205"/>
      <c r="W26" s="93"/>
      <c r="X26" s="93"/>
      <c r="Y26" s="28"/>
      <c r="Z26" s="28"/>
      <c r="AA26" s="28"/>
      <c r="AB26" s="28"/>
      <c r="AC26" s="84"/>
    </row>
    <row r="27" spans="2:34">
      <c r="B27" s="83"/>
      <c r="C27" s="98"/>
      <c r="D27" s="98"/>
      <c r="E27" s="94"/>
      <c r="F27" s="94"/>
      <c r="G27" s="94"/>
      <c r="H27" s="94"/>
      <c r="I27" s="94"/>
      <c r="J27" s="94"/>
      <c r="K27" s="94"/>
      <c r="L27" s="94"/>
      <c r="M27" s="94"/>
      <c r="N27" s="94"/>
      <c r="O27" s="94"/>
      <c r="P27" s="34"/>
      <c r="Q27" s="204" t="s">
        <v>90</v>
      </c>
      <c r="R27" s="205"/>
      <c r="S27" s="206" t="str">
        <f>INDEX(RVpressure,MATCH(1,RV_MFC,0))&amp;" PSI"</f>
        <v>50 PSI</v>
      </c>
      <c r="T27" s="205"/>
      <c r="U27" s="153">
        <f>IF(S26*120%&lt;=S26+15,S26+15,S26*120%)</f>
        <v>45</v>
      </c>
      <c r="V27" s="125"/>
      <c r="W27" s="93"/>
      <c r="X27" s="93"/>
      <c r="Y27" s="28"/>
      <c r="Z27" s="28"/>
      <c r="AA27" s="28"/>
      <c r="AB27" s="28"/>
      <c r="AC27" s="84"/>
    </row>
    <row r="28" spans="2:34">
      <c r="B28" s="83"/>
      <c r="C28" s="98"/>
      <c r="D28" s="98"/>
      <c r="E28" s="94"/>
      <c r="F28" s="94"/>
      <c r="G28" s="94"/>
      <c r="H28" s="94"/>
      <c r="I28" s="94"/>
      <c r="J28" s="94"/>
      <c r="K28" s="94"/>
      <c r="L28" s="94"/>
      <c r="M28" s="94"/>
      <c r="N28" s="94"/>
      <c r="O28" s="94"/>
      <c r="P28" s="34"/>
      <c r="Q28" s="93"/>
      <c r="R28" s="92"/>
      <c r="S28" s="92"/>
      <c r="T28" s="92"/>
      <c r="U28" s="92"/>
      <c r="V28" s="92"/>
      <c r="W28" s="92"/>
      <c r="X28" s="92"/>
      <c r="Y28" s="37"/>
      <c r="Z28" s="37"/>
      <c r="AA28" s="37"/>
      <c r="AB28" s="37"/>
      <c r="AC28" s="84"/>
    </row>
    <row r="29" spans="2:34">
      <c r="B29" s="83"/>
      <c r="C29" s="207"/>
      <c r="D29" s="207"/>
      <c r="E29" s="92"/>
      <c r="F29" s="92"/>
      <c r="G29" s="92"/>
      <c r="H29" s="92"/>
      <c r="I29" s="92"/>
      <c r="J29" s="92"/>
      <c r="K29" s="92"/>
      <c r="L29" s="92"/>
      <c r="M29" s="92"/>
      <c r="N29" s="92"/>
      <c r="O29" s="92"/>
      <c r="P29" s="34"/>
      <c r="Q29" s="92"/>
      <c r="R29" s="92"/>
      <c r="S29" s="92"/>
      <c r="T29" s="92"/>
      <c r="U29" s="92"/>
      <c r="V29" s="92"/>
      <c r="W29" s="92"/>
      <c r="X29" s="92"/>
      <c r="Y29" s="37"/>
      <c r="Z29" s="37"/>
      <c r="AA29" s="37"/>
      <c r="AB29" s="37"/>
      <c r="AC29" s="84"/>
    </row>
    <row r="30" spans="2:34" ht="16" thickBot="1">
      <c r="B30" s="85"/>
      <c r="C30" s="86"/>
      <c r="D30" s="86"/>
      <c r="E30" s="87"/>
      <c r="F30" s="87"/>
      <c r="G30" s="87"/>
      <c r="H30" s="87"/>
      <c r="I30" s="87"/>
      <c r="J30" s="87"/>
      <c r="K30" s="87"/>
      <c r="L30" s="87"/>
      <c r="M30" s="87"/>
      <c r="N30" s="87"/>
      <c r="O30" s="87"/>
      <c r="P30" s="86"/>
      <c r="Q30" s="88"/>
      <c r="R30" s="88"/>
      <c r="S30" s="88"/>
      <c r="T30" s="88"/>
      <c r="U30" s="88"/>
      <c r="V30" s="88"/>
      <c r="W30" s="88"/>
      <c r="X30" s="88"/>
      <c r="Y30" s="89"/>
      <c r="Z30" s="89"/>
      <c r="AA30" s="89"/>
      <c r="AB30" s="89"/>
      <c r="AC30" s="91"/>
      <c r="AD30" s="95"/>
      <c r="AE30" s="95"/>
      <c r="AF30" s="95"/>
      <c r="AG30" s="95"/>
      <c r="AH30" s="95"/>
    </row>
    <row r="31" spans="2:34">
      <c r="B31" s="95"/>
      <c r="C31" s="54"/>
      <c r="D31" s="54"/>
      <c r="E31" s="54"/>
      <c r="F31" s="54"/>
      <c r="G31" s="54"/>
      <c r="H31" s="54"/>
      <c r="I31" s="25"/>
      <c r="J31" s="25"/>
      <c r="K31" s="25"/>
      <c r="L31" s="25"/>
      <c r="M31" s="25"/>
      <c r="N31" s="25"/>
      <c r="O31" s="25"/>
      <c r="P31" s="95"/>
      <c r="Q31" s="93"/>
      <c r="R31" s="93"/>
      <c r="S31" s="93"/>
      <c r="T31" s="93"/>
      <c r="U31" s="93"/>
      <c r="V31" s="93"/>
      <c r="W31" s="93"/>
      <c r="X31" s="93"/>
      <c r="Y31" s="28"/>
      <c r="Z31" s="28"/>
      <c r="AA31" s="28"/>
      <c r="AB31" s="28"/>
      <c r="AC31" s="95"/>
      <c r="AD31" s="95"/>
      <c r="AE31" s="95"/>
      <c r="AF31" s="95"/>
      <c r="AG31" s="95"/>
      <c r="AH31" s="95"/>
    </row>
    <row r="32" spans="2:34" ht="16" customHeight="1">
      <c r="B32" s="95"/>
      <c r="C32" s="54"/>
      <c r="D32" s="54"/>
      <c r="E32" s="54"/>
      <c r="F32" s="54"/>
      <c r="L32" s="29"/>
      <c r="M32" s="30"/>
      <c r="N32" s="30"/>
      <c r="O32" s="95"/>
      <c r="P32" s="95"/>
      <c r="Q32" s="95"/>
      <c r="R32" s="95"/>
      <c r="S32" s="95"/>
      <c r="T32" s="95"/>
      <c r="U32" s="95"/>
      <c r="V32" s="95"/>
      <c r="W32" s="95"/>
      <c r="X32" s="95"/>
      <c r="Y32" s="95"/>
      <c r="Z32" s="95"/>
      <c r="AA32" s="95"/>
      <c r="AB32" s="95"/>
      <c r="AC32" s="95"/>
      <c r="AD32" s="95"/>
      <c r="AE32" s="95"/>
      <c r="AF32" s="95"/>
      <c r="AG32" s="95"/>
      <c r="AH32" s="95"/>
    </row>
    <row r="33" spans="2:34">
      <c r="B33" s="95"/>
      <c r="C33" s="54"/>
      <c r="D33" s="54"/>
      <c r="E33" s="95"/>
      <c r="F33" s="95"/>
      <c r="G33" s="56"/>
      <c r="H33" s="56"/>
      <c r="I33" s="56"/>
      <c r="J33" s="56"/>
      <c r="K33" s="34"/>
      <c r="L33" s="95"/>
      <c r="M33" s="95"/>
      <c r="N33" s="95"/>
      <c r="O33" s="95"/>
      <c r="P33" s="95"/>
      <c r="Q33" s="95"/>
      <c r="R33" s="95"/>
      <c r="S33" s="95"/>
      <c r="T33" s="95"/>
      <c r="U33" s="95"/>
      <c r="V33" s="95"/>
      <c r="W33" s="95"/>
      <c r="X33" s="95"/>
      <c r="Y33" s="95"/>
      <c r="Z33" s="95"/>
      <c r="AA33" s="95"/>
      <c r="AB33" s="95"/>
      <c r="AC33" s="95"/>
      <c r="AD33" s="95"/>
      <c r="AE33" s="95"/>
      <c r="AF33" s="95"/>
      <c r="AG33" s="95"/>
      <c r="AH33" s="95"/>
    </row>
    <row r="34" spans="2:34">
      <c r="B34" s="95"/>
      <c r="C34" s="54"/>
      <c r="D34" s="54"/>
      <c r="E34" s="54"/>
      <c r="F34" s="54"/>
      <c r="G34" s="54"/>
      <c r="H34" s="54"/>
      <c r="I34" s="34"/>
      <c r="J34" s="34"/>
      <c r="K34" s="34"/>
      <c r="L34" s="54"/>
      <c r="M34" s="54"/>
      <c r="N34" s="34"/>
      <c r="O34" s="34"/>
      <c r="P34" s="34"/>
      <c r="Q34" s="95"/>
      <c r="R34" s="34"/>
      <c r="S34" s="34"/>
      <c r="T34" s="34"/>
      <c r="U34" s="95"/>
      <c r="V34" s="95"/>
      <c r="W34" s="95"/>
      <c r="X34" s="95"/>
      <c r="Y34" s="95"/>
      <c r="Z34" s="95"/>
      <c r="AA34" s="95"/>
      <c r="AB34" s="95"/>
      <c r="AC34" s="95"/>
      <c r="AD34" s="95"/>
      <c r="AE34" s="95"/>
      <c r="AF34" s="95"/>
      <c r="AG34" s="95"/>
      <c r="AH34" s="95"/>
    </row>
    <row r="35" spans="2:34">
      <c r="B35" s="95"/>
      <c r="C35" s="54"/>
      <c r="D35" s="54"/>
      <c r="E35" s="54"/>
      <c r="F35" s="54"/>
      <c r="G35" s="54"/>
      <c r="H35" s="54"/>
      <c r="I35" s="34"/>
      <c r="J35" s="34"/>
      <c r="K35" s="34"/>
      <c r="L35" s="54"/>
      <c r="M35" s="54"/>
      <c r="N35" s="34"/>
      <c r="O35" s="34"/>
      <c r="P35" s="34"/>
      <c r="Q35" s="54"/>
      <c r="R35" s="34"/>
      <c r="S35" s="34"/>
      <c r="T35" s="34"/>
      <c r="U35" s="54"/>
      <c r="V35" s="24"/>
      <c r="W35" s="24"/>
      <c r="X35" s="54"/>
      <c r="Y35" s="54"/>
      <c r="Z35" s="54"/>
      <c r="AA35" s="54"/>
      <c r="AB35" s="54"/>
      <c r="AC35" s="95"/>
      <c r="AD35" s="95"/>
      <c r="AE35" s="95"/>
      <c r="AF35" s="95"/>
      <c r="AG35" s="95"/>
      <c r="AH35" s="95"/>
    </row>
    <row r="36" spans="2:34">
      <c r="B36" s="95"/>
      <c r="C36" s="54"/>
      <c r="D36" s="95"/>
      <c r="E36" s="95"/>
      <c r="F36" s="95"/>
      <c r="G36" s="24"/>
      <c r="H36" s="24"/>
      <c r="I36" s="24"/>
      <c r="J36" s="24"/>
      <c r="K36" s="54"/>
      <c r="L36" s="54"/>
      <c r="M36" s="54"/>
      <c r="N36" s="30"/>
      <c r="O36" s="54"/>
      <c r="P36" s="54"/>
      <c r="Q36" s="54"/>
      <c r="R36" s="54"/>
      <c r="S36" s="24"/>
      <c r="T36" s="24"/>
      <c r="U36" s="24"/>
      <c r="V36" s="24"/>
      <c r="W36" s="24"/>
      <c r="X36" s="54"/>
      <c r="Y36" s="54"/>
      <c r="Z36" s="54"/>
      <c r="AA36" s="54"/>
      <c r="AB36" s="54"/>
      <c r="AC36" s="95"/>
      <c r="AD36" s="95"/>
      <c r="AE36" s="95"/>
      <c r="AF36" s="95"/>
      <c r="AG36" s="95"/>
      <c r="AH36" s="95"/>
    </row>
    <row r="37" spans="2:34">
      <c r="B37" s="95"/>
      <c r="C37" s="31"/>
      <c r="D37" s="24"/>
      <c r="E37" s="24"/>
      <c r="F37" s="24"/>
      <c r="G37" s="95"/>
      <c r="H37" s="95"/>
      <c r="I37" s="95"/>
      <c r="J37" s="95"/>
      <c r="K37" s="95"/>
      <c r="L37" s="95"/>
      <c r="M37" s="95"/>
      <c r="N37" s="95"/>
      <c r="O37" s="54"/>
      <c r="P37" s="54"/>
      <c r="Q37" s="54"/>
      <c r="R37" s="24"/>
      <c r="S37" s="24"/>
      <c r="T37" s="24"/>
      <c r="U37" s="24"/>
      <c r="V37" s="24"/>
      <c r="W37" s="24"/>
      <c r="X37" s="54"/>
      <c r="Y37" s="54"/>
      <c r="Z37" s="54"/>
      <c r="AA37" s="54"/>
      <c r="AB37" s="54"/>
      <c r="AC37" s="95"/>
      <c r="AD37" s="95"/>
      <c r="AE37" s="95"/>
      <c r="AF37" s="95"/>
      <c r="AG37" s="95"/>
      <c r="AH37" s="95"/>
    </row>
    <row r="38" spans="2:34">
      <c r="B38" s="95"/>
      <c r="C38" s="24"/>
      <c r="D38" s="24"/>
      <c r="E38" s="24"/>
      <c r="F38" s="24"/>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2:34">
      <c r="B39" s="95"/>
      <c r="C39" s="24"/>
      <c r="D39" s="24"/>
      <c r="E39" s="56"/>
      <c r="F39" s="56"/>
      <c r="G39" s="57"/>
      <c r="H39" s="57"/>
      <c r="I39" s="57"/>
      <c r="J39" s="55"/>
      <c r="K39" s="55"/>
      <c r="L39" s="55"/>
      <c r="M39" s="56"/>
      <c r="N39" s="56"/>
      <c r="O39" s="56"/>
      <c r="P39" s="58"/>
      <c r="Q39" s="58"/>
      <c r="R39" s="58"/>
      <c r="S39" s="56"/>
      <c r="T39" s="56"/>
      <c r="U39" s="56"/>
      <c r="V39" s="56"/>
      <c r="W39" s="56"/>
      <c r="X39" s="56"/>
      <c r="Y39" s="56"/>
      <c r="Z39" s="56"/>
      <c r="AA39" s="56"/>
      <c r="AB39" s="56"/>
      <c r="AC39" s="95"/>
      <c r="AD39" s="95"/>
      <c r="AE39" s="95"/>
      <c r="AF39" s="95"/>
      <c r="AG39" s="95"/>
      <c r="AH39" s="95"/>
    </row>
    <row r="40" spans="2:34">
      <c r="B40" s="95"/>
      <c r="C40" s="95"/>
      <c r="D40" s="95"/>
      <c r="E40" s="58"/>
      <c r="F40" s="58"/>
      <c r="G40" s="58"/>
      <c r="H40" s="58"/>
      <c r="I40" s="58"/>
      <c r="J40" s="56"/>
      <c r="K40" s="56"/>
      <c r="L40" s="56"/>
      <c r="M40" s="56"/>
      <c r="N40" s="56"/>
      <c r="O40" s="56"/>
      <c r="P40" s="58"/>
      <c r="Q40" s="58"/>
      <c r="R40" s="58"/>
      <c r="S40" s="56"/>
      <c r="T40" s="56"/>
      <c r="U40" s="56"/>
      <c r="V40" s="56"/>
      <c r="W40" s="56"/>
      <c r="X40" s="56"/>
      <c r="Y40" s="56"/>
      <c r="Z40" s="56"/>
      <c r="AA40" s="56"/>
      <c r="AB40" s="56"/>
      <c r="AC40" s="95"/>
      <c r="AD40" s="95"/>
      <c r="AE40" s="95"/>
      <c r="AF40" s="95"/>
      <c r="AG40" s="95"/>
      <c r="AH40" s="95"/>
    </row>
    <row r="41" spans="2:34">
      <c r="B41" s="95"/>
      <c r="C41" s="29"/>
      <c r="D41" s="30"/>
      <c r="E41" s="56"/>
      <c r="F41" s="56"/>
      <c r="G41" s="56"/>
      <c r="H41" s="56"/>
      <c r="I41" s="56"/>
      <c r="J41" s="56"/>
      <c r="K41" s="56"/>
      <c r="L41" s="56"/>
      <c r="M41" s="56"/>
      <c r="N41" s="56"/>
      <c r="O41" s="56"/>
      <c r="P41" s="56"/>
      <c r="Q41" s="56"/>
      <c r="R41" s="56"/>
      <c r="S41" s="56"/>
      <c r="T41" s="56"/>
      <c r="U41" s="56"/>
      <c r="V41" s="56"/>
      <c r="W41" s="56"/>
      <c r="X41" s="56"/>
      <c r="Y41" s="56"/>
      <c r="Z41" s="56"/>
      <c r="AA41" s="56"/>
      <c r="AB41" s="56"/>
      <c r="AC41" s="95"/>
      <c r="AD41" s="95"/>
      <c r="AE41" s="95"/>
      <c r="AF41" s="95"/>
      <c r="AG41" s="95"/>
      <c r="AH41" s="95"/>
    </row>
    <row r="42" spans="2:34">
      <c r="B42" s="95"/>
      <c r="C42" s="95"/>
      <c r="D42" s="95"/>
      <c r="E42" s="56"/>
      <c r="F42" s="56"/>
      <c r="G42" s="56"/>
      <c r="H42" s="56"/>
      <c r="I42" s="56"/>
      <c r="J42" s="56"/>
      <c r="K42" s="56"/>
      <c r="L42" s="56"/>
      <c r="M42" s="56"/>
      <c r="N42" s="56"/>
      <c r="O42" s="56"/>
      <c r="P42" s="56"/>
      <c r="Q42" s="56"/>
      <c r="R42" s="56"/>
      <c r="S42" s="56"/>
      <c r="T42" s="56"/>
      <c r="U42" s="56"/>
      <c r="V42" s="56"/>
      <c r="W42" s="56"/>
      <c r="X42" s="56"/>
      <c r="Y42" s="56"/>
      <c r="Z42" s="56"/>
      <c r="AA42" s="56"/>
      <c r="AB42" s="56"/>
      <c r="AC42" s="95"/>
      <c r="AD42" s="95"/>
      <c r="AE42" s="95"/>
      <c r="AF42" s="95"/>
      <c r="AG42" s="95"/>
      <c r="AH42" s="95"/>
    </row>
    <row r="43" spans="2:34">
      <c r="B43" s="95"/>
      <c r="C43" s="29"/>
      <c r="D43" s="30"/>
      <c r="E43" s="30"/>
      <c r="F43" s="30"/>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row>
    <row r="44" spans="2:3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row>
    <row r="45" spans="2:3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row>
    <row r="46" spans="2:34">
      <c r="B46" s="95"/>
      <c r="C46" s="54"/>
      <c r="D46" s="24"/>
      <c r="E46" s="24"/>
      <c r="F46" s="24"/>
      <c r="G46" s="54"/>
      <c r="H46" s="54"/>
      <c r="I46" s="54"/>
      <c r="J46" s="54"/>
      <c r="K46" s="54"/>
      <c r="L46" s="54"/>
      <c r="M46" s="24"/>
      <c r="N46" s="24"/>
      <c r="O46" s="24"/>
      <c r="P46" s="54"/>
      <c r="Q46" s="24"/>
      <c r="R46" s="24"/>
      <c r="S46" s="24"/>
      <c r="T46" s="95"/>
      <c r="U46" s="95"/>
      <c r="V46" s="95"/>
      <c r="W46" s="95"/>
      <c r="X46" s="95"/>
      <c r="Y46" s="95"/>
      <c r="Z46" s="95"/>
      <c r="AA46" s="95"/>
      <c r="AB46" s="95"/>
      <c r="AC46" s="95"/>
      <c r="AD46" s="95"/>
      <c r="AE46" s="95"/>
      <c r="AF46" s="95"/>
      <c r="AG46" s="95"/>
      <c r="AH46" s="95"/>
    </row>
    <row r="47" spans="2:34">
      <c r="B47" s="95"/>
      <c r="C47" s="54"/>
      <c r="D47" s="24"/>
      <c r="E47" s="24"/>
      <c r="F47" s="24"/>
      <c r="G47" s="54"/>
      <c r="H47" s="54"/>
      <c r="I47" s="54"/>
      <c r="J47" s="54"/>
      <c r="K47" s="54"/>
      <c r="L47" s="54"/>
      <c r="M47" s="24"/>
      <c r="N47" s="24"/>
      <c r="O47" s="24"/>
      <c r="P47" s="24"/>
      <c r="Q47" s="24"/>
      <c r="R47" s="24"/>
      <c r="S47" s="24"/>
      <c r="T47" s="95"/>
      <c r="U47" s="95"/>
      <c r="V47" s="95"/>
      <c r="W47" s="95"/>
      <c r="X47" s="95"/>
      <c r="Y47" s="95"/>
      <c r="Z47" s="95"/>
      <c r="AA47" s="95"/>
      <c r="AB47" s="95"/>
      <c r="AC47" s="95"/>
      <c r="AD47" s="95"/>
      <c r="AE47" s="95"/>
      <c r="AF47" s="95"/>
      <c r="AG47" s="95"/>
      <c r="AH47" s="95"/>
    </row>
    <row r="48" spans="2:34">
      <c r="B48" s="95"/>
      <c r="C48" s="54"/>
      <c r="D48" s="24"/>
      <c r="E48" s="24"/>
      <c r="F48" s="24"/>
      <c r="G48" s="54"/>
      <c r="H48" s="54"/>
      <c r="I48" s="54"/>
      <c r="J48" s="54"/>
      <c r="K48" s="54"/>
      <c r="L48" s="54"/>
      <c r="M48" s="24"/>
      <c r="N48" s="24"/>
      <c r="O48" s="24"/>
      <c r="P48" s="24"/>
      <c r="Q48" s="24"/>
      <c r="R48" s="24"/>
      <c r="S48" s="24"/>
      <c r="T48" s="95"/>
      <c r="U48" s="95"/>
      <c r="V48" s="95"/>
      <c r="W48" s="95"/>
      <c r="X48" s="95"/>
      <c r="Y48" s="95"/>
      <c r="Z48" s="95"/>
      <c r="AA48" s="95"/>
      <c r="AB48" s="95"/>
      <c r="AC48" s="95"/>
      <c r="AD48" s="95"/>
      <c r="AE48" s="95"/>
      <c r="AF48" s="95"/>
      <c r="AG48" s="95"/>
      <c r="AH48" s="95"/>
    </row>
    <row r="49" spans="2:3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row>
    <row r="50" spans="2:34">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row>
    <row r="51" spans="2:3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row>
    <row r="52" spans="2:3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row>
    <row r="53" spans="2:3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row>
    <row r="54" spans="2:34">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2:34">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row>
    <row r="56" spans="2:34">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row>
    <row r="57" spans="2:34">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row>
    <row r="58" spans="2:3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row>
    <row r="59" spans="2:34">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row>
    <row r="60" spans="2:34">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row>
    <row r="61" spans="2:3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row>
    <row r="62" spans="2:3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row>
    <row r="63" spans="2:34">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row>
    <row r="64" spans="2:34">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row>
    <row r="65" spans="2:34">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row>
    <row r="66" spans="2:34">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2:34">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row>
    <row r="68" spans="2:34">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row>
    <row r="69" spans="2:34">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row>
    <row r="70" spans="2:3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row>
    <row r="71" spans="2:34">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row>
    <row r="72" spans="2:3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row>
    <row r="73" spans="2:34">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row>
    <row r="74" spans="2:34">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row>
    <row r="75" spans="2:34">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row>
    <row r="76" spans="2:34">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row>
    <row r="77" spans="2:34">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row>
    <row r="78" spans="2:34">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row>
    <row r="79" spans="2:34">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row>
    <row r="80" spans="2:34">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row>
    <row r="81" spans="2:34">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row>
    <row r="82" spans="2:34">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row>
    <row r="83" spans="2:34">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row>
    <row r="84" spans="2:34">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row>
    <row r="85" spans="2:34">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row>
    <row r="86" spans="2:34">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row>
    <row r="87" spans="2:34">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row>
    <row r="88" spans="2:34">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row>
    <row r="89" spans="2:34">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row>
    <row r="90" spans="2:34">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row>
    <row r="91" spans="2:34">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row>
    <row r="92" spans="2:34">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row>
  </sheetData>
  <sheetProtection algorithmName="SHA-512" hashValue="2qC0DJMza5w3ocaTCiiNQADSNJR3PiylT2tBj5h+w64VHvFVPoj4svzB/gsB+fE357hBUAJ+aND7ATqSQ651hQ==" saltValue="idIpOzC5nEcQR3w22AGSvA==" spinCount="100000" sheet="1" objects="1" scenarios="1"/>
  <mergeCells count="26">
    <mergeCell ref="O2:S2"/>
    <mergeCell ref="O4:S4"/>
    <mergeCell ref="C6:E6"/>
    <mergeCell ref="G6:Z6"/>
    <mergeCell ref="I7:P7"/>
    <mergeCell ref="Q7:S7"/>
    <mergeCell ref="T7:V7"/>
    <mergeCell ref="C10:AB10"/>
    <mergeCell ref="C11:E11"/>
    <mergeCell ref="C12:E12"/>
    <mergeCell ref="I11:K12"/>
    <mergeCell ref="F13:H14"/>
    <mergeCell ref="I13:K14"/>
    <mergeCell ref="L11:O12"/>
    <mergeCell ref="L13:O14"/>
    <mergeCell ref="S27:T27"/>
    <mergeCell ref="F11:H12"/>
    <mergeCell ref="I15:K15"/>
    <mergeCell ref="C29:D29"/>
    <mergeCell ref="C15:E15"/>
    <mergeCell ref="C13:E14"/>
    <mergeCell ref="C19:P26"/>
    <mergeCell ref="Q19:X19"/>
    <mergeCell ref="Q26:R26"/>
    <mergeCell ref="T26:V26"/>
    <mergeCell ref="Q27:R27"/>
  </mergeCells>
  <conditionalFormatting sqref="V39">
    <cfRule type="expression" dxfId="24" priority="3">
      <formula>AND($R$9&lt;3000)=TRUE</formula>
    </cfRule>
  </conditionalFormatting>
  <conditionalFormatting sqref="T9">
    <cfRule type="containsText" dxfId="23" priority="8" operator="containsText" text="460">
      <formula>NOT(ISERROR(SEARCH("460",T9)))</formula>
    </cfRule>
  </conditionalFormatting>
  <conditionalFormatting sqref="U9">
    <cfRule type="containsText" dxfId="22" priority="6" operator="containsText" text="19">
      <formula>NOT(ISERROR(SEARCH("19",U9)))</formula>
    </cfRule>
    <cfRule type="containsText" dxfId="21" priority="7" operator="containsText" text="10">
      <formula>NOT(ISERROR(SEARCH("10",U9)))</formula>
    </cfRule>
  </conditionalFormatting>
  <conditionalFormatting sqref="Z11 V41">
    <cfRule type="expression" dxfId="20" priority="4">
      <formula>AND($R$9&lt;3000)=TRUE</formula>
    </cfRule>
  </conditionalFormatting>
  <conditionalFormatting sqref="R11">
    <cfRule type="expression" dxfId="19" priority="2">
      <formula>AND($Q$9&lt;3000)=TRUE</formula>
    </cfRule>
  </conditionalFormatting>
  <conditionalFormatting sqref="Y9">
    <cfRule type="containsText" dxfId="18" priority="1" operator="containsText" text="3">
      <formula>NOT(ISERROR(SEARCH("3",Y9)))</formula>
    </cfRule>
  </conditionalFormatting>
  <dataValidations count="1">
    <dataValidation type="list" allowBlank="1" showInputMessage="1" showErrorMessage="1" sqref="O4:S4" xr:uid="{00000000-0002-0000-0200-000000000000}">
      <formula1>MFC</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tint="0.39997558519241921"/>
    <pageSetUpPr autoPageBreaks="0"/>
  </sheetPr>
  <dimension ref="B1:AC29"/>
  <sheetViews>
    <sheetView topLeftCell="I1" workbookViewId="0">
      <selection activeCell="N4" sqref="N4:R4"/>
    </sheetView>
  </sheetViews>
  <sheetFormatPr defaultColWidth="10.83203125" defaultRowHeight="15.5"/>
  <cols>
    <col min="1" max="2" width="2.58203125" style="17" customWidth="1"/>
    <col min="3" max="6" width="10.83203125" style="17"/>
    <col min="7" max="7" width="11.58203125" style="17" customWidth="1"/>
    <col min="8" max="27" width="10.83203125" style="17"/>
    <col min="28" max="28" width="2.58203125" style="17" customWidth="1"/>
    <col min="29" max="16384" width="10.83203125" style="17"/>
  </cols>
  <sheetData>
    <row r="1" spans="2:29" ht="16" thickBot="1">
      <c r="B1" s="17">
        <v>1</v>
      </c>
      <c r="C1" s="17">
        <v>2</v>
      </c>
      <c r="D1" s="17">
        <v>3</v>
      </c>
      <c r="E1" s="17">
        <v>4</v>
      </c>
      <c r="F1" s="17">
        <v>5</v>
      </c>
      <c r="G1" s="17">
        <v>6</v>
      </c>
      <c r="H1" s="17">
        <v>7</v>
      </c>
      <c r="I1" s="17">
        <v>8</v>
      </c>
      <c r="J1" s="17">
        <v>9</v>
      </c>
      <c r="K1" s="17">
        <v>10</v>
      </c>
      <c r="L1" s="17">
        <v>11</v>
      </c>
      <c r="M1" s="17">
        <v>12</v>
      </c>
      <c r="N1" s="17">
        <v>13</v>
      </c>
      <c r="O1" s="17">
        <v>14</v>
      </c>
      <c r="P1" s="17">
        <v>15</v>
      </c>
      <c r="Q1" s="17">
        <v>16</v>
      </c>
      <c r="R1" s="17">
        <v>17</v>
      </c>
      <c r="S1" s="17">
        <v>18</v>
      </c>
      <c r="T1" s="17">
        <v>19</v>
      </c>
      <c r="U1" s="17">
        <v>20</v>
      </c>
      <c r="V1" s="17">
        <v>21</v>
      </c>
      <c r="W1" s="17">
        <v>22</v>
      </c>
      <c r="X1" s="17">
        <v>23</v>
      </c>
      <c r="Y1" s="17">
        <v>24</v>
      </c>
      <c r="Z1" s="17">
        <v>25</v>
      </c>
      <c r="AA1" s="17">
        <v>26</v>
      </c>
      <c r="AB1" s="17">
        <v>27</v>
      </c>
    </row>
    <row r="2" spans="2:29" ht="24" thickTop="1">
      <c r="B2" s="48"/>
      <c r="C2" s="50"/>
      <c r="D2" s="50"/>
      <c r="E2" s="50"/>
      <c r="F2" s="50"/>
      <c r="G2" s="50"/>
      <c r="H2" s="50"/>
      <c r="I2" s="50"/>
      <c r="J2" s="50"/>
      <c r="K2" s="50"/>
      <c r="L2" s="50"/>
      <c r="M2" s="50"/>
      <c r="N2" s="253" t="s">
        <v>65</v>
      </c>
      <c r="O2" s="254"/>
      <c r="P2" s="254"/>
      <c r="Q2" s="254"/>
      <c r="R2" s="254"/>
      <c r="S2" s="50"/>
      <c r="T2" s="50"/>
      <c r="U2" s="50"/>
      <c r="V2" s="50"/>
      <c r="W2" s="50"/>
      <c r="X2" s="50"/>
      <c r="Y2" s="50"/>
      <c r="Z2" s="250" t="s">
        <v>102</v>
      </c>
      <c r="AA2" s="251"/>
      <c r="AB2" s="252"/>
    </row>
    <row r="3" spans="2:29">
      <c r="B3" s="38"/>
      <c r="C3" s="34"/>
      <c r="D3" s="34"/>
      <c r="E3" s="34"/>
      <c r="F3" s="34"/>
      <c r="G3" s="34"/>
      <c r="H3" s="34"/>
      <c r="I3" s="34"/>
      <c r="J3" s="34"/>
      <c r="K3" s="34"/>
      <c r="L3" s="34"/>
      <c r="M3" s="34"/>
      <c r="N3" s="34"/>
      <c r="O3" s="34"/>
      <c r="P3" s="34"/>
      <c r="Q3" s="34"/>
      <c r="R3" s="34"/>
      <c r="S3" s="34"/>
      <c r="T3" s="34"/>
      <c r="U3" s="34"/>
      <c r="V3" s="34"/>
      <c r="W3" s="34"/>
      <c r="X3" s="34"/>
      <c r="Y3" s="34"/>
      <c r="Z3" s="34"/>
      <c r="AA3" s="34"/>
      <c r="AB3" s="39"/>
    </row>
    <row r="4" spans="2:29" ht="19" customHeight="1">
      <c r="B4" s="38"/>
      <c r="C4" s="34"/>
      <c r="D4" s="23"/>
      <c r="E4" s="23"/>
      <c r="F4" s="23"/>
      <c r="G4" s="23"/>
      <c r="H4" s="23"/>
      <c r="I4" s="23"/>
      <c r="J4" s="23"/>
      <c r="K4" s="23"/>
      <c r="L4" s="23"/>
      <c r="M4" s="174" t="s">
        <v>269</v>
      </c>
      <c r="N4" s="225" t="s">
        <v>68</v>
      </c>
      <c r="O4" s="226"/>
      <c r="P4" s="226"/>
      <c r="Q4" s="226"/>
      <c r="R4" s="226"/>
      <c r="S4" s="23"/>
      <c r="T4" s="23"/>
      <c r="U4" s="23"/>
      <c r="V4" s="23"/>
      <c r="W4" s="23"/>
      <c r="X4" s="23"/>
      <c r="Y4" s="23"/>
      <c r="Z4" s="23"/>
      <c r="AA4" s="23"/>
      <c r="AB4" s="39"/>
    </row>
    <row r="5" spans="2:29" ht="16" thickBot="1">
      <c r="B5" s="38"/>
      <c r="C5" s="34"/>
      <c r="D5" s="34"/>
      <c r="E5" s="34"/>
      <c r="F5" s="34"/>
      <c r="G5" s="34"/>
      <c r="H5" s="34"/>
      <c r="I5" s="34"/>
      <c r="J5" s="34"/>
      <c r="K5" s="34"/>
      <c r="L5" s="34"/>
      <c r="M5" s="34"/>
      <c r="N5" s="34"/>
      <c r="O5" s="34"/>
      <c r="P5" s="34"/>
      <c r="Q5" s="34"/>
      <c r="R5" s="34"/>
      <c r="S5" s="34"/>
      <c r="T5" s="34"/>
      <c r="U5" s="34"/>
      <c r="V5" s="34"/>
      <c r="W5" s="34"/>
      <c r="X5" s="34"/>
      <c r="Y5" s="34"/>
      <c r="Z5" s="34"/>
      <c r="AA5" s="34"/>
      <c r="AB5" s="40"/>
    </row>
    <row r="6" spans="2:29" ht="18" customHeight="1" thickBot="1">
      <c r="B6" s="38"/>
      <c r="C6" s="255" t="s">
        <v>97</v>
      </c>
      <c r="D6" s="256"/>
      <c r="E6" s="256"/>
      <c r="F6" s="256"/>
      <c r="G6" s="256"/>
      <c r="H6" s="256"/>
      <c r="I6" s="256"/>
      <c r="J6" s="256"/>
      <c r="K6" s="256"/>
      <c r="L6" s="256"/>
      <c r="M6" s="256"/>
      <c r="N6" s="256"/>
      <c r="O6" s="256"/>
      <c r="P6" s="256"/>
      <c r="Q6" s="256"/>
      <c r="R6" s="256"/>
      <c r="S6" s="256"/>
      <c r="T6" s="256"/>
      <c r="U6" s="256"/>
      <c r="V6" s="256"/>
      <c r="W6" s="256"/>
      <c r="X6" s="256"/>
      <c r="Y6" s="256"/>
      <c r="Z6" s="256"/>
      <c r="AA6" s="257"/>
      <c r="AB6" s="117"/>
      <c r="AC6" s="21"/>
    </row>
    <row r="7" spans="2:29" ht="15.75" customHeight="1" thickBot="1">
      <c r="B7" s="38"/>
      <c r="C7" s="142"/>
      <c r="D7" s="142"/>
      <c r="E7" s="142"/>
      <c r="F7" s="142"/>
      <c r="G7" s="142"/>
      <c r="H7" s="142"/>
      <c r="I7" s="142"/>
      <c r="J7" s="255" t="s">
        <v>0</v>
      </c>
      <c r="K7" s="256"/>
      <c r="L7" s="256"/>
      <c r="M7" s="256"/>
      <c r="N7" s="256"/>
      <c r="O7" s="256"/>
      <c r="P7" s="256"/>
      <c r="Q7" s="257"/>
      <c r="R7" s="255" t="s">
        <v>1</v>
      </c>
      <c r="S7" s="256"/>
      <c r="T7" s="257"/>
      <c r="U7" s="255" t="s">
        <v>2</v>
      </c>
      <c r="V7" s="256"/>
      <c r="W7" s="146"/>
      <c r="X7" s="146"/>
      <c r="Y7" s="146"/>
      <c r="Z7" s="146"/>
      <c r="AA7" s="8"/>
      <c r="AB7" s="118"/>
      <c r="AC7" s="21"/>
    </row>
    <row r="8" spans="2:29" ht="43" customHeight="1" thickBot="1">
      <c r="B8" s="38"/>
      <c r="C8" s="147" t="s">
        <v>18</v>
      </c>
      <c r="D8" s="147" t="s">
        <v>3</v>
      </c>
      <c r="E8" s="147" t="s">
        <v>4</v>
      </c>
      <c r="F8" s="53" t="s">
        <v>24</v>
      </c>
      <c r="G8" s="147" t="s">
        <v>66</v>
      </c>
      <c r="H8" s="147" t="s">
        <v>67</v>
      </c>
      <c r="I8" s="53" t="s">
        <v>80</v>
      </c>
      <c r="J8" s="140" t="s">
        <v>81</v>
      </c>
      <c r="K8" s="141" t="s">
        <v>113</v>
      </c>
      <c r="L8" s="140" t="s">
        <v>19</v>
      </c>
      <c r="M8" s="140" t="s">
        <v>20</v>
      </c>
      <c r="N8" s="140" t="s">
        <v>83</v>
      </c>
      <c r="O8" s="140" t="s">
        <v>82</v>
      </c>
      <c r="P8" s="140" t="s">
        <v>21</v>
      </c>
      <c r="Q8" s="140" t="s">
        <v>72</v>
      </c>
      <c r="R8" s="140" t="s">
        <v>5</v>
      </c>
      <c r="S8" s="140" t="s">
        <v>22</v>
      </c>
      <c r="T8" s="140" t="s">
        <v>63</v>
      </c>
      <c r="U8" s="140" t="s">
        <v>61</v>
      </c>
      <c r="V8" s="140" t="s">
        <v>7</v>
      </c>
      <c r="W8" s="143" t="s">
        <v>62</v>
      </c>
      <c r="X8" s="143" t="s">
        <v>25</v>
      </c>
      <c r="Y8" s="73" t="s">
        <v>6</v>
      </c>
      <c r="Z8" s="73" t="s">
        <v>114</v>
      </c>
      <c r="AA8" s="73" t="s">
        <v>8</v>
      </c>
      <c r="AB8" s="119"/>
      <c r="AC8" s="22"/>
    </row>
    <row r="9" spans="2:29" ht="28.5" customHeight="1" thickBot="1">
      <c r="B9" s="38"/>
      <c r="C9" s="148" t="s">
        <v>9</v>
      </c>
      <c r="D9" s="148" t="s">
        <v>10</v>
      </c>
      <c r="E9" s="148" t="s">
        <v>11</v>
      </c>
      <c r="F9" s="149" t="s">
        <v>78</v>
      </c>
      <c r="G9" s="141" t="str">
        <f>VLOOKUP($N4,AMboiler,6,FALSE)</f>
        <v>437 / 486</v>
      </c>
      <c r="H9" s="141">
        <f>VLOOKUP($N4,AMboiler,7,FALSE)</f>
        <v>2</v>
      </c>
      <c r="I9" s="141">
        <f>VLOOKUP($N4,AMboiler,8,FALSE)</f>
        <v>93.8</v>
      </c>
      <c r="J9" s="150" t="s">
        <v>48</v>
      </c>
      <c r="K9" s="141">
        <f>VLOOKUP($N4,AMboiler,10,FALSE)</f>
        <v>4</v>
      </c>
      <c r="L9" s="141">
        <f>VLOOKUP($N4,AMboiler,11,FALSE)</f>
        <v>50</v>
      </c>
      <c r="M9" s="141">
        <f>VLOOKUP($N4,AMboiler,12,FALSE)</f>
        <v>160</v>
      </c>
      <c r="N9" s="150" t="s">
        <v>48</v>
      </c>
      <c r="O9" s="150" t="s">
        <v>48</v>
      </c>
      <c r="P9" s="141" t="str">
        <f>VLOOKUP($N4,AMboiler,15,FALSE)</f>
        <v>12 / 40</v>
      </c>
      <c r="Q9" s="141">
        <f>VLOOKUP($N4,AMboiler,16,FALSE)</f>
        <v>40</v>
      </c>
      <c r="R9" s="141" t="str">
        <f>VLOOKUP($N4,AMboiler,17,FALSE)</f>
        <v>NATURAL GAS</v>
      </c>
      <c r="S9" s="141">
        <f>VLOOKUP($N4,AMboiler,18,FALSE)</f>
        <v>500</v>
      </c>
      <c r="T9" s="141" t="str">
        <f>VLOOKUP($N4,AMboiler,19,FALSE)</f>
        <v>3 / 13</v>
      </c>
      <c r="U9" s="141" t="str">
        <f>VLOOKUP($N4,AMboiler,20,FALSE)</f>
        <v>120/1/60</v>
      </c>
      <c r="V9" s="141">
        <f>VLOOKUP($N4,AMboiler,21,FALSE)</f>
        <v>2.5</v>
      </c>
      <c r="W9" s="141" t="str">
        <f>VLOOKUP($N4,AMboiler,22,FALSE)</f>
        <v>34.8 X 23.6 X 45.7</v>
      </c>
      <c r="X9" s="141">
        <f>VLOOKUP($N4,AMboiler,23,FALSE)</f>
        <v>310</v>
      </c>
      <c r="Y9" s="141" t="str">
        <f>VLOOKUP($N4,AMboiler,24,FALSE)</f>
        <v>CSA/CSD-1</v>
      </c>
      <c r="Z9" s="141" t="str">
        <f>VLOOKUP($N4,AMboiler,25,FALSE)</f>
        <v>AERCO</v>
      </c>
      <c r="AA9" s="141" t="str">
        <f>VLOOKUP($N4,AMboiler,26,FALSE)</f>
        <v>AM 500</v>
      </c>
      <c r="AB9" s="40"/>
    </row>
    <row r="10" spans="2:29" ht="16" customHeight="1">
      <c r="B10" s="38"/>
      <c r="C10" s="121" t="s">
        <v>31</v>
      </c>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83"/>
      <c r="AB10" s="120"/>
    </row>
    <row r="11" spans="2:29" ht="15.75" customHeight="1">
      <c r="B11" s="38"/>
      <c r="C11" s="214" t="s">
        <v>79</v>
      </c>
      <c r="D11" s="212"/>
      <c r="E11" s="212"/>
      <c r="F11" s="240" t="s">
        <v>246</v>
      </c>
      <c r="G11" s="240"/>
      <c r="H11" s="240"/>
      <c r="I11" s="240" t="s">
        <v>242</v>
      </c>
      <c r="J11" s="240"/>
      <c r="K11" s="240"/>
      <c r="L11" s="247" t="s">
        <v>244</v>
      </c>
      <c r="M11" s="247"/>
      <c r="N11" s="247"/>
      <c r="O11" s="247"/>
      <c r="P11" s="157"/>
      <c r="Q11" s="169"/>
      <c r="R11" s="169"/>
      <c r="S11" s="169"/>
      <c r="T11" s="165"/>
      <c r="U11" s="165"/>
      <c r="V11" s="165"/>
      <c r="W11" s="165"/>
      <c r="X11" s="165"/>
      <c r="Y11" s="165"/>
      <c r="Z11" s="130"/>
      <c r="AA11" s="183"/>
      <c r="AB11" s="120"/>
    </row>
    <row r="12" spans="2:29" ht="15" customHeight="1">
      <c r="B12" s="38"/>
      <c r="C12" s="214" t="str">
        <f>VLOOKUP($N4,AMboiler,28,FALSE)</f>
        <v>2. MINIMUM TURNDOWN: 10:1</v>
      </c>
      <c r="D12" s="212"/>
      <c r="E12" s="212"/>
      <c r="F12" s="240"/>
      <c r="G12" s="240"/>
      <c r="H12" s="240"/>
      <c r="I12" s="240"/>
      <c r="J12" s="240"/>
      <c r="K12" s="240"/>
      <c r="L12" s="247"/>
      <c r="M12" s="247"/>
      <c r="N12" s="247"/>
      <c r="O12" s="247"/>
      <c r="P12" s="157"/>
      <c r="Q12" s="169"/>
      <c r="R12" s="169"/>
      <c r="S12" s="169"/>
      <c r="T12" s="165"/>
      <c r="U12" s="165"/>
      <c r="V12" s="165"/>
      <c r="W12" s="165"/>
      <c r="X12" s="165"/>
      <c r="Y12" s="165"/>
      <c r="Z12" s="130"/>
      <c r="AA12" s="183"/>
      <c r="AB12" s="120"/>
    </row>
    <row r="13" spans="2:29" ht="16.5" customHeight="1">
      <c r="B13" s="38"/>
      <c r="C13" s="214" t="s">
        <v>32</v>
      </c>
      <c r="D13" s="212"/>
      <c r="E13" s="212"/>
      <c r="F13" s="240" t="s">
        <v>240</v>
      </c>
      <c r="G13" s="240"/>
      <c r="H13" s="240"/>
      <c r="I13" s="212" t="s">
        <v>243</v>
      </c>
      <c r="J13" s="212"/>
      <c r="K13" s="212"/>
      <c r="L13" s="248" t="s">
        <v>245</v>
      </c>
      <c r="M13" s="248"/>
      <c r="N13" s="248"/>
      <c r="O13" s="248"/>
      <c r="P13" s="157"/>
      <c r="Q13" s="165"/>
      <c r="R13" s="165"/>
      <c r="S13" s="165"/>
      <c r="T13" s="167"/>
      <c r="U13" s="167"/>
      <c r="V13" s="167"/>
      <c r="W13" s="157"/>
      <c r="X13" s="157"/>
      <c r="Y13" s="157"/>
      <c r="Z13" s="130"/>
      <c r="AA13" s="184"/>
      <c r="AB13" s="40"/>
    </row>
    <row r="14" spans="2:29" ht="12.75" customHeight="1">
      <c r="B14" s="38"/>
      <c r="C14" s="241" t="s">
        <v>104</v>
      </c>
      <c r="D14" s="242"/>
      <c r="E14" s="242"/>
      <c r="F14" s="245" t="s">
        <v>241</v>
      </c>
      <c r="G14" s="245"/>
      <c r="H14" s="245"/>
      <c r="I14" s="212"/>
      <c r="J14" s="212"/>
      <c r="K14" s="212"/>
      <c r="L14" s="248"/>
      <c r="M14" s="248"/>
      <c r="N14" s="248"/>
      <c r="O14" s="248"/>
      <c r="P14" s="177"/>
      <c r="Q14" s="170"/>
      <c r="R14" s="177"/>
      <c r="S14" s="177"/>
      <c r="T14" s="177"/>
      <c r="U14" s="177"/>
      <c r="V14" s="177"/>
      <c r="W14" s="177"/>
      <c r="X14" s="177"/>
      <c r="Y14" s="177"/>
      <c r="Z14" s="177"/>
      <c r="AA14" s="184"/>
      <c r="AB14" s="40"/>
    </row>
    <row r="15" spans="2:29" ht="12.75" customHeight="1" thickBot="1">
      <c r="B15" s="38"/>
      <c r="C15" s="243"/>
      <c r="D15" s="244"/>
      <c r="E15" s="244"/>
      <c r="F15" s="246"/>
      <c r="G15" s="246"/>
      <c r="H15" s="246"/>
      <c r="I15" s="213"/>
      <c r="J15" s="213"/>
      <c r="K15" s="213"/>
      <c r="L15" s="249"/>
      <c r="M15" s="249"/>
      <c r="N15" s="249"/>
      <c r="O15" s="249"/>
      <c r="P15" s="178"/>
      <c r="Q15" s="178"/>
      <c r="R15" s="178"/>
      <c r="S15" s="178"/>
      <c r="T15" s="178"/>
      <c r="U15" s="178"/>
      <c r="V15" s="178"/>
      <c r="W15" s="178"/>
      <c r="X15" s="178"/>
      <c r="Y15" s="178"/>
      <c r="Z15" s="178"/>
      <c r="AA15" s="185"/>
      <c r="AB15" s="40"/>
    </row>
    <row r="16" spans="2:29" ht="16" customHeight="1">
      <c r="B16" s="38"/>
      <c r="C16" s="34"/>
      <c r="D16" s="34"/>
      <c r="E16" s="34"/>
      <c r="F16" s="34"/>
      <c r="G16" s="34"/>
      <c r="H16" s="34"/>
      <c r="I16" s="34"/>
      <c r="J16" s="34"/>
      <c r="K16" s="34"/>
      <c r="L16" s="34"/>
      <c r="M16" s="34"/>
      <c r="N16" s="34"/>
      <c r="O16" s="34"/>
      <c r="P16" s="34"/>
      <c r="Q16" s="34"/>
      <c r="R16" s="34"/>
      <c r="S16" s="34"/>
      <c r="T16" s="34"/>
      <c r="U16" s="34"/>
      <c r="V16" s="34"/>
      <c r="W16" s="34"/>
      <c r="X16" s="34"/>
      <c r="Y16" s="34"/>
      <c r="Z16" s="34"/>
      <c r="AA16" s="28"/>
      <c r="AB16" s="41"/>
      <c r="AC16" s="18"/>
    </row>
    <row r="17" spans="2:29">
      <c r="B17" s="38"/>
      <c r="C17" s="208" t="s">
        <v>138</v>
      </c>
      <c r="D17" s="209"/>
      <c r="E17" s="209"/>
      <c r="F17" s="209"/>
      <c r="G17" s="209"/>
      <c r="H17" s="209"/>
      <c r="I17" s="209"/>
      <c r="J17" s="209"/>
      <c r="K17" s="209"/>
      <c r="L17" s="209"/>
      <c r="M17" s="209"/>
      <c r="N17" s="209"/>
      <c r="O17" s="209"/>
      <c r="P17" s="233"/>
      <c r="Q17" s="239" t="s">
        <v>94</v>
      </c>
      <c r="R17" s="238"/>
      <c r="S17" s="238"/>
      <c r="T17" s="238"/>
      <c r="U17" s="238"/>
      <c r="V17" s="238"/>
      <c r="W17" s="238"/>
      <c r="X17" s="238"/>
      <c r="Y17" s="28"/>
      <c r="Z17" s="28"/>
      <c r="AA17" s="28"/>
      <c r="AB17" s="41"/>
      <c r="AC17" s="18"/>
    </row>
    <row r="18" spans="2:29">
      <c r="B18" s="38"/>
      <c r="C18" s="209"/>
      <c r="D18" s="209"/>
      <c r="E18" s="209"/>
      <c r="F18" s="209"/>
      <c r="G18" s="209"/>
      <c r="H18" s="209"/>
      <c r="I18" s="209"/>
      <c r="J18" s="209"/>
      <c r="K18" s="209"/>
      <c r="L18" s="209"/>
      <c r="M18" s="209"/>
      <c r="N18" s="209"/>
      <c r="O18" s="209"/>
      <c r="P18" s="233"/>
      <c r="Q18" s="32"/>
      <c r="R18" s="33"/>
      <c r="S18" s="33"/>
      <c r="T18" s="33"/>
      <c r="U18" s="33"/>
      <c r="V18" s="33"/>
      <c r="W18" s="33"/>
      <c r="X18" s="33"/>
      <c r="Y18" s="28"/>
      <c r="Z18" s="28"/>
      <c r="AA18" s="28"/>
      <c r="AB18" s="41"/>
      <c r="AC18" s="18"/>
    </row>
    <row r="19" spans="2:29">
      <c r="B19" s="38"/>
      <c r="C19" s="209"/>
      <c r="D19" s="209"/>
      <c r="E19" s="209"/>
      <c r="F19" s="209"/>
      <c r="G19" s="209"/>
      <c r="H19" s="209"/>
      <c r="I19" s="209"/>
      <c r="J19" s="209"/>
      <c r="K19" s="209"/>
      <c r="L19" s="209"/>
      <c r="M19" s="209"/>
      <c r="N19" s="209"/>
      <c r="O19" s="209"/>
      <c r="P19" s="233"/>
      <c r="Q19" s="32" t="s">
        <v>86</v>
      </c>
      <c r="R19" s="33"/>
      <c r="S19" s="33"/>
      <c r="T19" s="33"/>
      <c r="U19" s="33"/>
      <c r="V19" s="33"/>
      <c r="W19" s="33"/>
      <c r="X19" s="33"/>
      <c r="Y19" s="28"/>
      <c r="Z19" s="28"/>
      <c r="AA19" s="28"/>
      <c r="AB19" s="41"/>
      <c r="AC19" s="18"/>
    </row>
    <row r="20" spans="2:29">
      <c r="B20" s="38"/>
      <c r="C20" s="209"/>
      <c r="D20" s="209"/>
      <c r="E20" s="209"/>
      <c r="F20" s="209"/>
      <c r="G20" s="209"/>
      <c r="H20" s="209"/>
      <c r="I20" s="209"/>
      <c r="J20" s="209"/>
      <c r="K20" s="209"/>
      <c r="L20" s="209"/>
      <c r="M20" s="209"/>
      <c r="N20" s="209"/>
      <c r="O20" s="209"/>
      <c r="P20" s="233"/>
      <c r="Q20" s="32" t="s">
        <v>229</v>
      </c>
      <c r="R20" s="33"/>
      <c r="S20" s="33"/>
      <c r="T20" s="33"/>
      <c r="U20" s="33"/>
      <c r="V20" s="33"/>
      <c r="W20" s="33"/>
      <c r="X20" s="33"/>
      <c r="Y20" s="28"/>
      <c r="Z20" s="28"/>
      <c r="AA20" s="36"/>
      <c r="AB20" s="41"/>
      <c r="AC20" s="18"/>
    </row>
    <row r="21" spans="2:29">
      <c r="B21" s="38"/>
      <c r="C21" s="209"/>
      <c r="D21" s="209"/>
      <c r="E21" s="209"/>
      <c r="F21" s="209"/>
      <c r="G21" s="209"/>
      <c r="H21" s="209"/>
      <c r="I21" s="209"/>
      <c r="J21" s="209"/>
      <c r="K21" s="209"/>
      <c r="L21" s="209"/>
      <c r="M21" s="209"/>
      <c r="N21" s="209"/>
      <c r="O21" s="209"/>
      <c r="P21" s="233"/>
      <c r="Q21" s="32" t="s">
        <v>88</v>
      </c>
      <c r="R21" s="33"/>
      <c r="S21" s="33"/>
      <c r="T21" s="33"/>
      <c r="U21" s="33"/>
      <c r="V21" s="33"/>
      <c r="W21" s="33"/>
      <c r="X21" s="33"/>
      <c r="Y21" s="28"/>
      <c r="Z21" s="28"/>
      <c r="AA21" s="28"/>
      <c r="AB21" s="41"/>
      <c r="AC21" s="18"/>
    </row>
    <row r="22" spans="2:29">
      <c r="B22" s="38"/>
      <c r="C22" s="209"/>
      <c r="D22" s="209"/>
      <c r="E22" s="209"/>
      <c r="F22" s="209"/>
      <c r="G22" s="209"/>
      <c r="H22" s="209"/>
      <c r="I22" s="209"/>
      <c r="J22" s="209"/>
      <c r="K22" s="209"/>
      <c r="L22" s="209"/>
      <c r="M22" s="209"/>
      <c r="N22" s="209"/>
      <c r="O22" s="209"/>
      <c r="P22" s="233"/>
      <c r="Q22" s="32"/>
      <c r="R22" s="33"/>
      <c r="S22" s="33"/>
      <c r="T22" s="33"/>
      <c r="U22" s="33"/>
      <c r="V22" s="33"/>
      <c r="W22" s="33"/>
      <c r="X22" s="33"/>
      <c r="Y22" s="28"/>
      <c r="Z22" s="28"/>
      <c r="AA22" s="28"/>
      <c r="AB22" s="42"/>
      <c r="AC22" s="19"/>
    </row>
    <row r="23" spans="2:29">
      <c r="B23" s="38"/>
      <c r="C23" s="209"/>
      <c r="D23" s="209"/>
      <c r="E23" s="209"/>
      <c r="F23" s="209"/>
      <c r="G23" s="209"/>
      <c r="H23" s="209"/>
      <c r="I23" s="209"/>
      <c r="J23" s="209"/>
      <c r="K23" s="209"/>
      <c r="L23" s="209"/>
      <c r="M23" s="209"/>
      <c r="N23" s="209"/>
      <c r="O23" s="209"/>
      <c r="P23" s="233"/>
      <c r="Q23" s="237" t="s">
        <v>92</v>
      </c>
      <c r="R23" s="211"/>
      <c r="S23" s="211"/>
      <c r="T23" s="211"/>
      <c r="U23" s="211"/>
      <c r="V23" s="211"/>
      <c r="W23" s="211"/>
      <c r="X23" s="211"/>
      <c r="Y23" s="36"/>
      <c r="Z23" s="36"/>
      <c r="AA23" s="37"/>
      <c r="AB23" s="41"/>
      <c r="AC23" s="18"/>
    </row>
    <row r="24" spans="2:29">
      <c r="B24" s="38"/>
      <c r="C24" s="209"/>
      <c r="D24" s="209"/>
      <c r="E24" s="209"/>
      <c r="F24" s="209"/>
      <c r="G24" s="209"/>
      <c r="H24" s="209"/>
      <c r="I24" s="209"/>
      <c r="J24" s="209"/>
      <c r="K24" s="209"/>
      <c r="L24" s="209"/>
      <c r="M24" s="209"/>
      <c r="N24" s="209"/>
      <c r="O24" s="209"/>
      <c r="P24" s="233"/>
      <c r="Q24" s="211"/>
      <c r="R24" s="211"/>
      <c r="S24" s="211"/>
      <c r="T24" s="211"/>
      <c r="U24" s="211"/>
      <c r="V24" s="211"/>
      <c r="W24" s="211"/>
      <c r="X24" s="211"/>
      <c r="Y24" s="28"/>
      <c r="Z24" s="28"/>
      <c r="AA24" s="37"/>
      <c r="AB24" s="41"/>
      <c r="AC24" s="18"/>
    </row>
    <row r="25" spans="2:29">
      <c r="B25" s="38"/>
      <c r="C25" s="234"/>
      <c r="D25" s="235"/>
      <c r="E25" s="32"/>
      <c r="F25" s="62"/>
      <c r="G25" s="32"/>
      <c r="H25" s="32"/>
      <c r="I25" s="32"/>
      <c r="J25" s="62"/>
      <c r="K25" s="32"/>
      <c r="L25" s="32"/>
      <c r="M25" s="32"/>
      <c r="N25" s="32"/>
      <c r="O25" s="32"/>
      <c r="P25" s="34"/>
      <c r="Q25" s="211"/>
      <c r="R25" s="211"/>
      <c r="S25" s="211"/>
      <c r="T25" s="211"/>
      <c r="U25" s="211"/>
      <c r="V25" s="211"/>
      <c r="W25" s="211"/>
      <c r="X25" s="211"/>
      <c r="Y25" s="28"/>
      <c r="Z25" s="28"/>
      <c r="AA25" s="37"/>
      <c r="AB25" s="41"/>
      <c r="AC25" s="20"/>
    </row>
    <row r="26" spans="2:29">
      <c r="B26" s="38"/>
      <c r="C26" s="235"/>
      <c r="D26" s="235"/>
      <c r="E26" s="32"/>
      <c r="F26" s="62"/>
      <c r="G26" s="32"/>
      <c r="H26" s="32"/>
      <c r="I26" s="32"/>
      <c r="J26" s="62"/>
      <c r="K26" s="32"/>
      <c r="L26" s="32"/>
      <c r="M26" s="32"/>
      <c r="N26" s="32"/>
      <c r="O26" s="32"/>
      <c r="P26" s="34"/>
      <c r="Q26" s="238"/>
      <c r="R26" s="238"/>
      <c r="S26" s="238"/>
      <c r="T26" s="238"/>
      <c r="U26" s="238"/>
      <c r="V26" s="238"/>
      <c r="W26" s="238"/>
      <c r="X26" s="238"/>
      <c r="Y26" s="37"/>
      <c r="Z26" s="37"/>
      <c r="AA26" s="37"/>
      <c r="AB26" s="41"/>
      <c r="AC26" s="20"/>
    </row>
    <row r="27" spans="2:29">
      <c r="B27" s="38"/>
      <c r="C27" s="207"/>
      <c r="D27" s="207"/>
      <c r="E27" s="236"/>
      <c r="F27" s="236"/>
      <c r="G27" s="236"/>
      <c r="H27" s="236"/>
      <c r="I27" s="236"/>
      <c r="J27" s="236"/>
      <c r="K27" s="236"/>
      <c r="L27" s="236"/>
      <c r="M27" s="236"/>
      <c r="N27" s="236"/>
      <c r="O27" s="236"/>
      <c r="P27" s="34"/>
      <c r="Q27" s="238"/>
      <c r="R27" s="238"/>
      <c r="S27" s="238"/>
      <c r="T27" s="238"/>
      <c r="U27" s="238"/>
      <c r="V27" s="238"/>
      <c r="W27" s="238"/>
      <c r="X27" s="238"/>
      <c r="Y27" s="37"/>
      <c r="Z27" s="37"/>
      <c r="AB27" s="41"/>
      <c r="AC27" s="20"/>
    </row>
    <row r="28" spans="2:29" ht="16" thickBot="1">
      <c r="B28" s="43"/>
      <c r="C28" s="232"/>
      <c r="D28" s="232"/>
      <c r="E28" s="44"/>
      <c r="F28" s="44"/>
      <c r="G28" s="44"/>
      <c r="H28" s="44"/>
      <c r="I28" s="44"/>
      <c r="J28" s="44"/>
      <c r="K28" s="44"/>
      <c r="L28" s="44"/>
      <c r="M28" s="44"/>
      <c r="N28" s="44"/>
      <c r="O28" s="44"/>
      <c r="P28" s="45"/>
      <c r="Q28" s="46"/>
      <c r="R28" s="46"/>
      <c r="S28" s="46"/>
      <c r="T28" s="46"/>
      <c r="U28" s="46"/>
      <c r="V28" s="46"/>
      <c r="W28" s="46"/>
      <c r="X28" s="46"/>
      <c r="Y28" s="47"/>
      <c r="Z28" s="47"/>
      <c r="AA28" s="151"/>
      <c r="AB28" s="152"/>
      <c r="AC28" s="20"/>
    </row>
    <row r="29" spans="2:29" ht="16" thickTop="1">
      <c r="C29" s="25"/>
      <c r="D29" s="25"/>
      <c r="E29" s="25"/>
      <c r="F29" s="25"/>
      <c r="G29" s="25"/>
      <c r="H29" s="25"/>
      <c r="I29" s="25"/>
      <c r="J29" s="25"/>
      <c r="K29" s="25"/>
      <c r="L29" s="25"/>
      <c r="M29" s="25"/>
      <c r="N29" s="25"/>
      <c r="O29" s="25"/>
      <c r="Q29" s="33"/>
      <c r="R29" s="33"/>
      <c r="S29" s="33"/>
      <c r="T29" s="33"/>
      <c r="U29" s="33"/>
      <c r="V29" s="33"/>
      <c r="W29" s="33"/>
      <c r="X29" s="33"/>
      <c r="Y29" s="18"/>
      <c r="Z29" s="18"/>
    </row>
  </sheetData>
  <sheetProtection algorithmName="SHA-512" hashValue="l4NMXPtIecyFO0l4MP4ukO2eif7MmqMv/L3GPgN83TDz0R9o6wEBWvxz+lkpbt5ILNgNVKMX6Z14/7QdalGvFg==" saltValue="cLAhsnnJ8S7akxAPRBLDrQ==" spinCount="100000" sheet="1" formatCells="0" selectLockedCells="1"/>
  <mergeCells count="26">
    <mergeCell ref="Z2:AB2"/>
    <mergeCell ref="N2:R2"/>
    <mergeCell ref="U7:V7"/>
    <mergeCell ref="R7:T7"/>
    <mergeCell ref="J7:Q7"/>
    <mergeCell ref="C6:AA6"/>
    <mergeCell ref="N4:R4"/>
    <mergeCell ref="Q23:X27"/>
    <mergeCell ref="Q17:X17"/>
    <mergeCell ref="C26:D26"/>
    <mergeCell ref="F11:H12"/>
    <mergeCell ref="F13:H13"/>
    <mergeCell ref="C14:E15"/>
    <mergeCell ref="F14:H15"/>
    <mergeCell ref="I11:K12"/>
    <mergeCell ref="I13:K15"/>
    <mergeCell ref="L11:O12"/>
    <mergeCell ref="L13:O15"/>
    <mergeCell ref="C28:D28"/>
    <mergeCell ref="C12:E12"/>
    <mergeCell ref="C13:E13"/>
    <mergeCell ref="C11:E11"/>
    <mergeCell ref="C17:P24"/>
    <mergeCell ref="C25:D25"/>
    <mergeCell ref="C27:D27"/>
    <mergeCell ref="E27:O27"/>
  </mergeCells>
  <dataValidations count="1">
    <dataValidation type="list" allowBlank="1" showInputMessage="1" showErrorMessage="1" sqref="N4:R4" xr:uid="{00000000-0002-0000-0300-000000000000}">
      <formula1>AM</formula1>
    </dataValidation>
  </dataValidation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8" tint="-0.499984740745262"/>
  </sheetPr>
  <dimension ref="B1:AH92"/>
  <sheetViews>
    <sheetView workbookViewId="0">
      <selection activeCell="K4" sqref="K4"/>
    </sheetView>
  </sheetViews>
  <sheetFormatPr defaultColWidth="10.83203125" defaultRowHeight="15.5"/>
  <cols>
    <col min="1" max="2" width="2.58203125" style="17" customWidth="1"/>
    <col min="3" max="28" width="11.25" style="17" customWidth="1"/>
    <col min="29" max="29" width="2.58203125" style="17" customWidth="1"/>
    <col min="30" max="16384" width="10.83203125" style="17"/>
  </cols>
  <sheetData>
    <row r="1" spans="2:29" ht="16" thickBot="1"/>
    <row r="2" spans="2:29" ht="25" customHeight="1" thickBot="1">
      <c r="B2" s="76"/>
      <c r="C2" s="77"/>
      <c r="D2" s="78"/>
      <c r="E2" s="79"/>
      <c r="F2" s="80"/>
      <c r="G2" s="80"/>
      <c r="H2" s="80"/>
      <c r="I2" s="80"/>
      <c r="J2" s="80"/>
      <c r="K2" s="80"/>
      <c r="L2" s="80"/>
      <c r="M2" s="80"/>
      <c r="N2" s="80"/>
      <c r="O2" s="224" t="s">
        <v>239</v>
      </c>
      <c r="P2" s="224"/>
      <c r="Q2" s="224"/>
      <c r="R2" s="224"/>
      <c r="S2" s="224"/>
      <c r="T2" s="81"/>
      <c r="U2" s="81"/>
      <c r="V2" s="81"/>
      <c r="W2" s="81"/>
      <c r="X2" s="81"/>
      <c r="Y2" s="81"/>
      <c r="Z2" s="81"/>
      <c r="AA2" s="81"/>
      <c r="AB2" s="90" t="s">
        <v>103</v>
      </c>
      <c r="AC2" s="82"/>
    </row>
    <row r="3" spans="2:29" ht="16" customHeight="1">
      <c r="B3" s="83"/>
      <c r="C3" s="34"/>
      <c r="D3" s="34"/>
      <c r="E3" s="34"/>
      <c r="F3" s="34"/>
      <c r="G3" s="34"/>
      <c r="H3" s="34"/>
      <c r="I3" s="34"/>
      <c r="J3" s="34"/>
      <c r="K3" s="34"/>
      <c r="L3" s="34"/>
      <c r="M3" s="34"/>
      <c r="N3" s="34"/>
      <c r="O3" s="34"/>
      <c r="P3" s="34"/>
      <c r="Q3" s="34"/>
      <c r="R3" s="34"/>
      <c r="S3" s="34"/>
      <c r="T3" s="34"/>
      <c r="U3" s="34"/>
      <c r="V3" s="34"/>
      <c r="W3" s="34"/>
      <c r="X3" s="34"/>
      <c r="Y3" s="34"/>
      <c r="Z3" s="34"/>
      <c r="AA3" s="34"/>
      <c r="AB3" s="34"/>
      <c r="AC3" s="84"/>
    </row>
    <row r="4" spans="2:29" ht="18.5">
      <c r="B4" s="83"/>
      <c r="C4" s="34"/>
      <c r="D4" s="34"/>
      <c r="E4" s="34"/>
      <c r="F4" s="34"/>
      <c r="G4" s="34"/>
      <c r="H4" s="34"/>
      <c r="I4" s="34"/>
      <c r="J4" s="34"/>
      <c r="K4" s="34"/>
      <c r="L4" s="34"/>
      <c r="M4" s="34"/>
      <c r="N4" s="174" t="s">
        <v>269</v>
      </c>
      <c r="O4" s="225" t="s">
        <v>347</v>
      </c>
      <c r="P4" s="226"/>
      <c r="Q4" s="226"/>
      <c r="R4" s="226"/>
      <c r="S4" s="226"/>
      <c r="T4" s="35"/>
      <c r="U4" s="35"/>
      <c r="V4" s="34"/>
      <c r="W4" s="34"/>
      <c r="X4" s="34"/>
      <c r="Y4" s="34"/>
      <c r="Z4" s="34"/>
      <c r="AA4" s="34"/>
      <c r="AB4" s="34"/>
      <c r="AC4" s="84"/>
    </row>
    <row r="5" spans="2:29" ht="16" thickBot="1">
      <c r="B5" s="83"/>
      <c r="C5" s="34"/>
      <c r="D5" s="34"/>
      <c r="E5" s="34"/>
      <c r="F5" s="34"/>
      <c r="G5" s="34"/>
      <c r="H5" s="34"/>
      <c r="I5" s="34"/>
      <c r="J5" s="34"/>
      <c r="K5" s="34"/>
      <c r="L5" s="34"/>
      <c r="M5" s="34"/>
      <c r="N5" s="34"/>
      <c r="O5" s="34"/>
      <c r="P5" s="34"/>
      <c r="Q5" s="34"/>
      <c r="R5" s="34"/>
      <c r="S5" s="34"/>
      <c r="T5" s="34"/>
      <c r="U5" s="34"/>
      <c r="V5" s="34"/>
      <c r="W5" s="34"/>
      <c r="X5" s="34"/>
      <c r="Y5" s="34"/>
      <c r="Z5" s="34"/>
      <c r="AA5" s="34"/>
      <c r="AB5" s="34"/>
      <c r="AC5" s="84"/>
    </row>
    <row r="6" spans="2:29" ht="18" customHeight="1" thickBot="1">
      <c r="B6" s="83"/>
      <c r="C6" s="255" t="s">
        <v>97</v>
      </c>
      <c r="D6" s="256"/>
      <c r="E6" s="256"/>
      <c r="F6" s="256"/>
      <c r="G6" s="256"/>
      <c r="H6" s="256"/>
      <c r="I6" s="256"/>
      <c r="J6" s="256"/>
      <c r="K6" s="256"/>
      <c r="L6" s="256"/>
      <c r="M6" s="256"/>
      <c r="N6" s="256"/>
      <c r="O6" s="256"/>
      <c r="P6" s="256"/>
      <c r="Q6" s="256"/>
      <c r="R6" s="256"/>
      <c r="S6" s="256"/>
      <c r="T6" s="256"/>
      <c r="U6" s="256"/>
      <c r="V6" s="256"/>
      <c r="W6" s="256"/>
      <c r="X6" s="256"/>
      <c r="Y6" s="256"/>
      <c r="Z6" s="256"/>
      <c r="AA6" s="256"/>
      <c r="AB6" s="257"/>
      <c r="AC6" s="84"/>
    </row>
    <row r="7" spans="2:29" ht="16" thickBot="1">
      <c r="B7" s="83"/>
      <c r="C7" s="142"/>
      <c r="D7" s="142"/>
      <c r="E7" s="142"/>
      <c r="F7" s="142"/>
      <c r="G7" s="142"/>
      <c r="H7" s="142"/>
      <c r="I7" s="142"/>
      <c r="J7" s="264" t="s">
        <v>0</v>
      </c>
      <c r="K7" s="265"/>
      <c r="L7" s="265"/>
      <c r="M7" s="265"/>
      <c r="N7" s="265"/>
      <c r="O7" s="265"/>
      <c r="P7" s="265"/>
      <c r="Q7" s="265"/>
      <c r="R7" s="255" t="s">
        <v>1</v>
      </c>
      <c r="S7" s="256"/>
      <c r="T7" s="257"/>
      <c r="U7" s="255" t="s">
        <v>2</v>
      </c>
      <c r="V7" s="256"/>
      <c r="W7" s="146"/>
      <c r="X7" s="146"/>
      <c r="Y7" s="146"/>
      <c r="Z7" s="146"/>
      <c r="AA7" s="144"/>
      <c r="AB7" s="8"/>
      <c r="AC7" s="84"/>
    </row>
    <row r="8" spans="2:29" ht="43" customHeight="1" thickBot="1">
      <c r="B8" s="83"/>
      <c r="C8" s="143" t="s">
        <v>18</v>
      </c>
      <c r="D8" s="143" t="s">
        <v>3</v>
      </c>
      <c r="E8" s="143" t="s">
        <v>4</v>
      </c>
      <c r="F8" s="73" t="s">
        <v>24</v>
      </c>
      <c r="G8" s="143" t="s">
        <v>66</v>
      </c>
      <c r="H8" s="143" t="s">
        <v>67</v>
      </c>
      <c r="I8" s="73" t="s">
        <v>80</v>
      </c>
      <c r="J8" s="140" t="s">
        <v>81</v>
      </c>
      <c r="K8" s="141" t="s">
        <v>113</v>
      </c>
      <c r="L8" s="140" t="s">
        <v>19</v>
      </c>
      <c r="M8" s="140" t="s">
        <v>20</v>
      </c>
      <c r="N8" s="140" t="s">
        <v>83</v>
      </c>
      <c r="O8" s="140" t="s">
        <v>82</v>
      </c>
      <c r="P8" s="140" t="s">
        <v>21</v>
      </c>
      <c r="Q8" s="140" t="s">
        <v>72</v>
      </c>
      <c r="R8" s="140" t="s">
        <v>5</v>
      </c>
      <c r="S8" s="140" t="s">
        <v>22</v>
      </c>
      <c r="T8" s="140" t="s">
        <v>63</v>
      </c>
      <c r="U8" s="140" t="s">
        <v>61</v>
      </c>
      <c r="V8" s="140" t="s">
        <v>7</v>
      </c>
      <c r="W8" s="143" t="s">
        <v>62</v>
      </c>
      <c r="X8" s="143" t="s">
        <v>25</v>
      </c>
      <c r="Y8" s="73" t="s">
        <v>6</v>
      </c>
      <c r="Z8" s="53" t="s">
        <v>116</v>
      </c>
      <c r="AA8" s="155" t="s">
        <v>114</v>
      </c>
      <c r="AB8" s="73" t="s">
        <v>8</v>
      </c>
      <c r="AC8" s="84"/>
    </row>
    <row r="9" spans="2:29" ht="33" customHeight="1" thickBot="1">
      <c r="B9" s="83"/>
      <c r="C9" s="61" t="s">
        <v>9</v>
      </c>
      <c r="D9" s="61" t="s">
        <v>10</v>
      </c>
      <c r="E9" s="61" t="s">
        <v>11</v>
      </c>
      <c r="F9" s="129" t="s">
        <v>143</v>
      </c>
      <c r="G9" s="59" t="str">
        <f>VLOOKUP($O4,MLXBoiler,6,FALSE)</f>
        <v>421 / 444</v>
      </c>
      <c r="H9" s="59">
        <f>VLOOKUP($O4,MLXBoiler,7,FALSE)</f>
        <v>3</v>
      </c>
      <c r="I9" s="127">
        <f>VLOOKUP($O4,MLXBoiler,8,FALSE)</f>
        <v>90</v>
      </c>
      <c r="J9" s="60" t="str">
        <f>VLOOKUP($O4,MLXBoiler,9,FALSE)</f>
        <v>--</v>
      </c>
      <c r="K9" s="139">
        <f>VLOOKUP($O4,MLXBoiler,10,FALSE)</f>
        <v>3.8</v>
      </c>
      <c r="L9" s="129">
        <f>VLOOKUP($O4,MLXBoiler,11,FALSE)</f>
        <v>80</v>
      </c>
      <c r="M9" s="127">
        <f>VLOOKUP($O4,MLXBoiler,12,FALSE)</f>
        <v>92</v>
      </c>
      <c r="N9" s="60" t="s">
        <v>48</v>
      </c>
      <c r="O9" s="60" t="str">
        <f>VLOOKUP($O4,MLXBoiler,14,FALSE)</f>
        <v>--</v>
      </c>
      <c r="P9" s="59" t="str">
        <f>VLOOKUP($O4,MLXBoiler,15,FALSE)</f>
        <v>18 / 42</v>
      </c>
      <c r="Q9" s="59" t="str">
        <f>VLOOKUP($O4,MLXBoiler,16,FALSE)</f>
        <v>11.8 FT.HD. @ 42 GPM</v>
      </c>
      <c r="R9" s="59" t="str">
        <f>VLOOKUP($O4,MLXBoiler,17,FALSE)</f>
        <v>NATURAL GAS</v>
      </c>
      <c r="S9" s="59">
        <f>VLOOKUP($O4,MLXBoiler,18,FALSE)</f>
        <v>482</v>
      </c>
      <c r="T9" s="59" t="str">
        <f>VLOOKUP($O4,MLXBoiler,19,FALSE)</f>
        <v>3.5 - 10.5</v>
      </c>
      <c r="U9" s="59" t="str">
        <f>VLOOKUP($O4,MLXBoiler,20,FALSE)</f>
        <v>120/1/60</v>
      </c>
      <c r="V9" s="59">
        <f>VLOOKUP($O4,MLXBoiler,21,FALSE)</f>
        <v>2.7</v>
      </c>
      <c r="W9" s="59" t="str">
        <f>VLOOKUP($O4,MLXBoiler,22,FALSE)</f>
        <v>30.3 x 30 x 45.3</v>
      </c>
      <c r="X9" s="59">
        <f>VLOOKUP($O4,MLXBoiler,23,FALSE)</f>
        <v>454</v>
      </c>
      <c r="Y9" s="59" t="s">
        <v>47</v>
      </c>
      <c r="Z9" s="140" t="s">
        <v>219</v>
      </c>
      <c r="AA9" s="145" t="s">
        <v>115</v>
      </c>
      <c r="AB9" s="141" t="str">
        <f>VLOOKUP($O4,MLXBoiler,27,FALSE)</f>
        <v>MLX EXT 450 2S</v>
      </c>
      <c r="AC9" s="84"/>
    </row>
    <row r="10" spans="2:29" ht="16.5" customHeight="1">
      <c r="B10" s="83"/>
      <c r="C10" s="262" t="s">
        <v>31</v>
      </c>
      <c r="D10" s="263"/>
      <c r="E10" s="263"/>
      <c r="F10" s="263"/>
      <c r="G10" s="263"/>
      <c r="H10" s="263"/>
      <c r="I10" s="263"/>
      <c r="J10" s="263"/>
      <c r="K10" s="263"/>
      <c r="L10" s="263"/>
      <c r="M10" s="263"/>
      <c r="N10" s="263"/>
      <c r="O10" s="263"/>
      <c r="P10" s="263"/>
      <c r="Q10" s="263"/>
      <c r="R10" s="263"/>
      <c r="S10" s="263"/>
      <c r="T10" s="263"/>
      <c r="U10" s="263"/>
      <c r="V10" s="263"/>
      <c r="W10" s="263"/>
      <c r="X10" s="263"/>
      <c r="Y10" s="263"/>
      <c r="Z10" s="263"/>
      <c r="AA10" s="263"/>
      <c r="AB10" s="156"/>
      <c r="AC10" s="84"/>
    </row>
    <row r="11" spans="2:29" ht="16.5" customHeight="1">
      <c r="B11" s="83"/>
      <c r="C11" s="259" t="s">
        <v>17</v>
      </c>
      <c r="D11" s="240"/>
      <c r="E11" s="240"/>
      <c r="F11" s="240" t="s">
        <v>231</v>
      </c>
      <c r="G11" s="240"/>
      <c r="H11" s="240"/>
      <c r="I11" s="240" t="s">
        <v>233</v>
      </c>
      <c r="J11" s="240"/>
      <c r="K11" s="240"/>
      <c r="L11" s="258" t="s">
        <v>236</v>
      </c>
      <c r="M11" s="258"/>
      <c r="N11" s="258"/>
      <c r="O11" s="242" t="s">
        <v>238</v>
      </c>
      <c r="P11" s="242"/>
      <c r="Q11" s="242"/>
      <c r="R11" s="242"/>
      <c r="S11" s="165"/>
      <c r="T11" s="165"/>
      <c r="U11" s="165"/>
      <c r="V11" s="167"/>
      <c r="W11" s="167"/>
      <c r="X11" s="177"/>
      <c r="Y11" s="177"/>
      <c r="Z11" s="167"/>
      <c r="AA11" s="167"/>
      <c r="AB11" s="68"/>
      <c r="AC11" s="84"/>
    </row>
    <row r="12" spans="2:29" ht="16.5" customHeight="1">
      <c r="B12" s="83"/>
      <c r="C12" s="259" t="str">
        <f>VLOOKUP($O4,MLXBoiler,28,FALSE)</f>
        <v>2. MINIMUM TURNDOWN: 10.5:1</v>
      </c>
      <c r="D12" s="240"/>
      <c r="E12" s="240"/>
      <c r="F12" s="240" t="s">
        <v>230</v>
      </c>
      <c r="G12" s="240"/>
      <c r="H12" s="240"/>
      <c r="I12" s="240" t="s">
        <v>234</v>
      </c>
      <c r="J12" s="240"/>
      <c r="K12" s="240"/>
      <c r="L12" s="258"/>
      <c r="M12" s="258"/>
      <c r="N12" s="258"/>
      <c r="O12" s="242"/>
      <c r="P12" s="242"/>
      <c r="Q12" s="242"/>
      <c r="R12" s="242"/>
      <c r="S12" s="165"/>
      <c r="T12" s="165"/>
      <c r="U12" s="165"/>
      <c r="V12" s="167"/>
      <c r="W12" s="167"/>
      <c r="X12" s="177"/>
      <c r="Y12" s="177"/>
      <c r="Z12" s="167"/>
      <c r="AA12" s="167"/>
      <c r="AB12" s="68"/>
      <c r="AC12" s="84"/>
    </row>
    <row r="13" spans="2:29" ht="16.5" customHeight="1">
      <c r="B13" s="83"/>
      <c r="C13" s="259" t="str">
        <f>VLOOKUP($O4,MLXBoiler,29,FALSE)</f>
        <v>3. MAX NOX: 20 PPM, 3% O2 CORRECTED</v>
      </c>
      <c r="D13" s="240"/>
      <c r="E13" s="240"/>
      <c r="F13" s="240"/>
      <c r="G13" s="240"/>
      <c r="H13" s="240"/>
      <c r="I13" s="240"/>
      <c r="J13" s="240"/>
      <c r="K13" s="240"/>
      <c r="L13" s="258" t="s">
        <v>237</v>
      </c>
      <c r="M13" s="258"/>
      <c r="N13" s="258"/>
      <c r="O13" s="169"/>
      <c r="P13" s="169"/>
      <c r="Q13" s="169"/>
      <c r="R13" s="165"/>
      <c r="S13" s="165"/>
      <c r="T13" s="165"/>
      <c r="U13" s="165"/>
      <c r="V13" s="167"/>
      <c r="W13" s="167"/>
      <c r="X13" s="177"/>
      <c r="Y13" s="177"/>
      <c r="Z13" s="167"/>
      <c r="AA13" s="167"/>
      <c r="AB13" s="68"/>
      <c r="AC13" s="84"/>
    </row>
    <row r="14" spans="2:29" ht="15.75" customHeight="1">
      <c r="B14" s="83"/>
      <c r="C14" s="259" t="s">
        <v>104</v>
      </c>
      <c r="D14" s="240"/>
      <c r="E14" s="240"/>
      <c r="F14" s="240" t="s">
        <v>232</v>
      </c>
      <c r="G14" s="240"/>
      <c r="H14" s="240"/>
      <c r="I14" s="240" t="s">
        <v>235</v>
      </c>
      <c r="J14" s="240"/>
      <c r="K14" s="240"/>
      <c r="L14" s="258"/>
      <c r="M14" s="258"/>
      <c r="N14" s="258"/>
      <c r="O14" s="169"/>
      <c r="P14" s="169"/>
      <c r="Q14" s="169"/>
      <c r="R14" s="165"/>
      <c r="S14" s="165"/>
      <c r="T14" s="165"/>
      <c r="U14" s="165"/>
      <c r="V14" s="167"/>
      <c r="W14" s="167"/>
      <c r="X14" s="177"/>
      <c r="Y14" s="177"/>
      <c r="Z14" s="167"/>
      <c r="AA14" s="167"/>
      <c r="AB14" s="68"/>
      <c r="AC14" s="84"/>
    </row>
    <row r="15" spans="2:29" ht="16.5" customHeight="1" thickBot="1">
      <c r="B15" s="83"/>
      <c r="C15" s="260"/>
      <c r="D15" s="261"/>
      <c r="E15" s="261"/>
      <c r="F15" s="261" t="s">
        <v>119</v>
      </c>
      <c r="G15" s="261"/>
      <c r="H15" s="261"/>
      <c r="I15" s="261"/>
      <c r="J15" s="261"/>
      <c r="K15" s="261"/>
      <c r="L15" s="186"/>
      <c r="M15" s="186"/>
      <c r="N15" s="186"/>
      <c r="O15" s="186"/>
      <c r="P15" s="186"/>
      <c r="Q15" s="186"/>
      <c r="R15" s="154"/>
      <c r="S15" s="154"/>
      <c r="T15" s="154"/>
      <c r="U15" s="166"/>
      <c r="V15" s="168"/>
      <c r="W15" s="168"/>
      <c r="X15" s="168"/>
      <c r="Y15" s="178"/>
      <c r="Z15" s="168"/>
      <c r="AA15" s="168"/>
      <c r="AB15" s="69"/>
      <c r="AC15" s="84"/>
    </row>
    <row r="16" spans="2:29" ht="16.5" customHeight="1">
      <c r="B16" s="83"/>
      <c r="C16" s="34"/>
      <c r="D16" s="34"/>
      <c r="E16" s="34"/>
      <c r="F16" s="34"/>
      <c r="G16" s="34"/>
      <c r="H16" s="34"/>
      <c r="L16" s="34"/>
      <c r="M16" s="34"/>
      <c r="N16" s="34"/>
      <c r="O16" s="34"/>
      <c r="P16" s="34"/>
      <c r="Q16" s="34"/>
      <c r="R16" s="34"/>
      <c r="S16" s="34"/>
      <c r="T16" s="34"/>
      <c r="U16" s="34"/>
      <c r="V16" s="34"/>
      <c r="W16" s="34"/>
      <c r="X16" s="34"/>
      <c r="Y16" s="34"/>
      <c r="Z16" s="34"/>
      <c r="AA16" s="34"/>
      <c r="AB16" s="34"/>
      <c r="AC16" s="84"/>
    </row>
    <row r="17" spans="2:34" ht="16.5" customHeight="1">
      <c r="B17" s="83"/>
      <c r="C17" s="34"/>
      <c r="D17" s="34"/>
      <c r="E17" s="34"/>
      <c r="F17" s="34"/>
      <c r="G17" s="34"/>
      <c r="H17" s="34"/>
      <c r="L17" s="34"/>
      <c r="M17" s="34"/>
      <c r="N17" s="34"/>
      <c r="O17" s="34"/>
      <c r="P17" s="34"/>
      <c r="Q17" s="34"/>
      <c r="R17" s="34"/>
      <c r="S17" s="34"/>
      <c r="T17" s="34"/>
      <c r="U17" s="34"/>
      <c r="V17" s="34"/>
      <c r="W17" s="34"/>
      <c r="X17" s="34"/>
      <c r="Y17" s="34"/>
      <c r="Z17" s="34"/>
      <c r="AA17" s="34"/>
      <c r="AB17" s="34"/>
      <c r="AC17" s="84"/>
    </row>
    <row r="18" spans="2:34">
      <c r="B18" s="83"/>
      <c r="C18" s="34"/>
      <c r="D18" s="34"/>
      <c r="E18" s="34"/>
      <c r="F18" s="34"/>
      <c r="G18" s="34"/>
      <c r="H18" s="34"/>
      <c r="L18" s="34"/>
      <c r="M18" s="34"/>
      <c r="N18" s="34"/>
      <c r="O18" s="34"/>
      <c r="P18" s="34"/>
      <c r="Q18" s="34"/>
      <c r="R18" s="34"/>
      <c r="S18" s="34"/>
      <c r="T18" s="34"/>
      <c r="U18" s="34"/>
      <c r="V18" s="34"/>
      <c r="W18" s="34"/>
      <c r="X18" s="34"/>
      <c r="Y18" s="34"/>
      <c r="Z18" s="34"/>
      <c r="AA18" s="34"/>
      <c r="AB18" s="34"/>
      <c r="AC18" s="84"/>
    </row>
    <row r="19" spans="2:34" ht="15.75" customHeight="1">
      <c r="B19" s="83"/>
      <c r="C19" s="208" t="s">
        <v>136</v>
      </c>
      <c r="D19" s="209"/>
      <c r="E19" s="209"/>
      <c r="F19" s="209"/>
      <c r="G19" s="209"/>
      <c r="H19" s="209"/>
      <c r="I19" s="209"/>
      <c r="J19" s="209"/>
      <c r="K19" s="209"/>
      <c r="L19" s="209"/>
      <c r="M19" s="209"/>
      <c r="N19" s="209"/>
      <c r="O19" s="209"/>
      <c r="P19" s="210"/>
      <c r="Q19" s="239" t="s">
        <v>94</v>
      </c>
      <c r="R19" s="238"/>
      <c r="S19" s="238"/>
      <c r="T19" s="238"/>
      <c r="U19" s="238"/>
      <c r="V19" s="238"/>
      <c r="W19" s="238"/>
      <c r="X19" s="238"/>
      <c r="Y19" s="28"/>
      <c r="Z19" s="28"/>
      <c r="AA19" s="28"/>
      <c r="AB19" s="28"/>
      <c r="AC19" s="84"/>
    </row>
    <row r="20" spans="2:34">
      <c r="B20" s="83"/>
      <c r="C20" s="209"/>
      <c r="D20" s="209"/>
      <c r="E20" s="209"/>
      <c r="F20" s="209"/>
      <c r="G20" s="209"/>
      <c r="H20" s="209"/>
      <c r="I20" s="209"/>
      <c r="J20" s="209"/>
      <c r="K20" s="209"/>
      <c r="L20" s="209"/>
      <c r="M20" s="209"/>
      <c r="N20" s="209"/>
      <c r="O20" s="209"/>
      <c r="P20" s="210"/>
      <c r="Q20" s="115"/>
      <c r="R20" s="116"/>
      <c r="S20" s="116"/>
      <c r="T20" s="116"/>
      <c r="U20" s="116"/>
      <c r="V20" s="116"/>
      <c r="W20" s="116"/>
      <c r="X20" s="116"/>
      <c r="Y20" s="28"/>
      <c r="Z20" s="28"/>
      <c r="AA20" s="28"/>
      <c r="AB20" s="28"/>
      <c r="AC20" s="84"/>
    </row>
    <row r="21" spans="2:34">
      <c r="B21" s="83"/>
      <c r="C21" s="209"/>
      <c r="D21" s="209"/>
      <c r="E21" s="209"/>
      <c r="F21" s="209"/>
      <c r="G21" s="209"/>
      <c r="H21" s="209"/>
      <c r="I21" s="209"/>
      <c r="J21" s="209"/>
      <c r="K21" s="209"/>
      <c r="L21" s="209"/>
      <c r="M21" s="209"/>
      <c r="N21" s="209"/>
      <c r="O21" s="209"/>
      <c r="P21" s="210"/>
      <c r="Q21" s="115" t="s">
        <v>86</v>
      </c>
      <c r="R21" s="116"/>
      <c r="S21" s="116"/>
      <c r="T21" s="116"/>
      <c r="U21" s="116"/>
      <c r="V21" s="116"/>
      <c r="W21" s="116"/>
      <c r="X21" s="116"/>
      <c r="Y21" s="28"/>
      <c r="Z21" s="28"/>
      <c r="AA21" s="28"/>
      <c r="AB21" s="28"/>
      <c r="AC21" s="84"/>
    </row>
    <row r="22" spans="2:34">
      <c r="B22" s="83"/>
      <c r="C22" s="209"/>
      <c r="D22" s="209"/>
      <c r="E22" s="209"/>
      <c r="F22" s="209"/>
      <c r="G22" s="209"/>
      <c r="H22" s="209"/>
      <c r="I22" s="209"/>
      <c r="J22" s="209"/>
      <c r="K22" s="209"/>
      <c r="L22" s="209"/>
      <c r="M22" s="209"/>
      <c r="N22" s="209"/>
      <c r="O22" s="209"/>
      <c r="P22" s="210"/>
      <c r="Q22" s="115" t="s">
        <v>229</v>
      </c>
      <c r="R22" s="116"/>
      <c r="S22" s="116"/>
      <c r="T22" s="116"/>
      <c r="U22" s="116"/>
      <c r="V22" s="116"/>
      <c r="W22" s="116"/>
      <c r="X22" s="116"/>
      <c r="Y22" s="28"/>
      <c r="Z22" s="28"/>
      <c r="AA22" s="28"/>
      <c r="AB22" s="28"/>
      <c r="AC22" s="84"/>
    </row>
    <row r="23" spans="2:34">
      <c r="B23" s="83"/>
      <c r="C23" s="209"/>
      <c r="D23" s="209"/>
      <c r="E23" s="209"/>
      <c r="F23" s="209"/>
      <c r="G23" s="209"/>
      <c r="H23" s="209"/>
      <c r="I23" s="209"/>
      <c r="J23" s="209"/>
      <c r="K23" s="209"/>
      <c r="L23" s="209"/>
      <c r="M23" s="209"/>
      <c r="N23" s="209"/>
      <c r="O23" s="209"/>
      <c r="P23" s="210"/>
      <c r="Q23" s="115" t="s">
        <v>88</v>
      </c>
      <c r="R23" s="116"/>
      <c r="S23" s="116"/>
      <c r="T23" s="116"/>
      <c r="U23" s="116"/>
      <c r="V23" s="116"/>
      <c r="W23" s="116"/>
      <c r="X23" s="116"/>
      <c r="Y23" s="28"/>
      <c r="Z23" s="28"/>
      <c r="AA23" s="28"/>
      <c r="AB23" s="28"/>
      <c r="AC23" s="84"/>
    </row>
    <row r="24" spans="2:34">
      <c r="B24" s="83"/>
      <c r="C24" s="209"/>
      <c r="D24" s="209"/>
      <c r="E24" s="209"/>
      <c r="F24" s="209"/>
      <c r="G24" s="209"/>
      <c r="H24" s="209"/>
      <c r="I24" s="209"/>
      <c r="J24" s="209"/>
      <c r="K24" s="209"/>
      <c r="L24" s="209"/>
      <c r="M24" s="209"/>
      <c r="N24" s="209"/>
      <c r="O24" s="209"/>
      <c r="P24" s="210"/>
      <c r="Q24" s="92"/>
      <c r="R24" s="93"/>
      <c r="S24" s="93"/>
      <c r="T24" s="93"/>
      <c r="U24" s="93"/>
      <c r="V24" s="93"/>
      <c r="W24" s="93"/>
      <c r="X24" s="93"/>
      <c r="Y24" s="28"/>
      <c r="Z24" s="28"/>
      <c r="AA24" s="28"/>
      <c r="AB24" s="28"/>
      <c r="AC24" s="84"/>
    </row>
    <row r="25" spans="2:34">
      <c r="B25" s="83"/>
      <c r="C25" s="209"/>
      <c r="D25" s="209"/>
      <c r="E25" s="209"/>
      <c r="F25" s="209"/>
      <c r="G25" s="209"/>
      <c r="H25" s="209"/>
      <c r="I25" s="209"/>
      <c r="J25" s="209"/>
      <c r="K25" s="209"/>
      <c r="L25" s="209"/>
      <c r="M25" s="209"/>
      <c r="N25" s="209"/>
      <c r="O25" s="209"/>
      <c r="P25" s="210"/>
      <c r="Q25" s="237" t="s">
        <v>228</v>
      </c>
      <c r="R25" s="211"/>
      <c r="S25" s="211"/>
      <c r="T25" s="211"/>
      <c r="U25" s="211"/>
      <c r="V25" s="211"/>
      <c r="W25" s="211"/>
      <c r="X25" s="211"/>
      <c r="Y25" s="36"/>
      <c r="Z25" s="36"/>
      <c r="AA25" s="36"/>
      <c r="AB25" s="36"/>
      <c r="AC25" s="84"/>
    </row>
    <row r="26" spans="2:34">
      <c r="B26" s="83"/>
      <c r="C26" s="209"/>
      <c r="D26" s="209"/>
      <c r="E26" s="209"/>
      <c r="F26" s="209"/>
      <c r="G26" s="209"/>
      <c r="H26" s="209"/>
      <c r="I26" s="209"/>
      <c r="J26" s="209"/>
      <c r="K26" s="209"/>
      <c r="L26" s="209"/>
      <c r="M26" s="209"/>
      <c r="N26" s="209"/>
      <c r="O26" s="209"/>
      <c r="P26" s="210"/>
      <c r="Q26" s="211"/>
      <c r="R26" s="211"/>
      <c r="S26" s="211"/>
      <c r="T26" s="211"/>
      <c r="U26" s="211"/>
      <c r="V26" s="211"/>
      <c r="W26" s="211"/>
      <c r="X26" s="211"/>
      <c r="Y26" s="28"/>
      <c r="Z26" s="28"/>
      <c r="AA26" s="28"/>
      <c r="AB26" s="28"/>
      <c r="AC26" s="84"/>
    </row>
    <row r="27" spans="2:34">
      <c r="B27" s="83"/>
      <c r="C27" s="98"/>
      <c r="D27" s="98"/>
      <c r="E27" s="94"/>
      <c r="F27" s="94"/>
      <c r="G27" s="94"/>
      <c r="H27" s="94"/>
      <c r="I27" s="94"/>
      <c r="J27" s="94"/>
      <c r="K27" s="94"/>
      <c r="L27" s="94"/>
      <c r="M27" s="94"/>
      <c r="N27" s="94"/>
      <c r="O27" s="94"/>
      <c r="P27" s="34"/>
      <c r="Q27" s="211"/>
      <c r="R27" s="211"/>
      <c r="S27" s="211"/>
      <c r="T27" s="211"/>
      <c r="U27" s="211"/>
      <c r="V27" s="211"/>
      <c r="W27" s="211"/>
      <c r="X27" s="211"/>
      <c r="Y27" s="28"/>
      <c r="Z27" s="28"/>
      <c r="AA27" s="28"/>
      <c r="AB27" s="28"/>
      <c r="AC27" s="84"/>
    </row>
    <row r="28" spans="2:34">
      <c r="B28" s="83"/>
      <c r="C28" s="98"/>
      <c r="D28" s="98"/>
      <c r="E28" s="94"/>
      <c r="F28" s="94"/>
      <c r="G28" s="94"/>
      <c r="H28" s="94"/>
      <c r="I28" s="94"/>
      <c r="J28" s="94"/>
      <c r="K28" s="94"/>
      <c r="L28" s="94"/>
      <c r="M28" s="94"/>
      <c r="N28" s="94"/>
      <c r="O28" s="94"/>
      <c r="P28" s="34"/>
      <c r="Q28" s="238"/>
      <c r="R28" s="238"/>
      <c r="S28" s="238"/>
      <c r="T28" s="238"/>
      <c r="U28" s="238"/>
      <c r="V28" s="238"/>
      <c r="W28" s="238"/>
      <c r="X28" s="238"/>
      <c r="Y28" s="37"/>
      <c r="Z28" s="37"/>
      <c r="AA28" s="37"/>
      <c r="AB28" s="37"/>
      <c r="AC28" s="84"/>
    </row>
    <row r="29" spans="2:34">
      <c r="B29" s="83"/>
      <c r="C29" s="207"/>
      <c r="D29" s="207"/>
      <c r="E29" s="92"/>
      <c r="F29" s="92"/>
      <c r="G29" s="92"/>
      <c r="H29" s="92"/>
      <c r="I29" s="92"/>
      <c r="J29" s="92"/>
      <c r="K29" s="92"/>
      <c r="L29" s="92"/>
      <c r="M29" s="92"/>
      <c r="N29" s="92"/>
      <c r="O29" s="92"/>
      <c r="P29" s="34"/>
      <c r="Q29" s="238"/>
      <c r="R29" s="238"/>
      <c r="S29" s="238"/>
      <c r="T29" s="238"/>
      <c r="U29" s="238"/>
      <c r="V29" s="238"/>
      <c r="W29" s="238"/>
      <c r="X29" s="238"/>
      <c r="Y29" s="37"/>
      <c r="Z29" s="37"/>
      <c r="AA29" s="37"/>
      <c r="AB29" s="37"/>
      <c r="AC29" s="84"/>
    </row>
    <row r="30" spans="2:34" ht="16" thickBot="1">
      <c r="B30" s="85"/>
      <c r="C30" s="86"/>
      <c r="D30" s="86"/>
      <c r="E30" s="87"/>
      <c r="F30" s="87"/>
      <c r="G30" s="87"/>
      <c r="H30" s="87"/>
      <c r="I30" s="87"/>
      <c r="J30" s="87"/>
      <c r="K30" s="87"/>
      <c r="L30" s="87"/>
      <c r="M30" s="87"/>
      <c r="N30" s="87"/>
      <c r="O30" s="87"/>
      <c r="P30" s="86"/>
      <c r="Q30" s="88"/>
      <c r="R30" s="88"/>
      <c r="S30" s="88"/>
      <c r="T30" s="88"/>
      <c r="U30" s="88"/>
      <c r="V30" s="88"/>
      <c r="W30" s="88"/>
      <c r="X30" s="88"/>
      <c r="Y30" s="89"/>
      <c r="Z30" s="89"/>
      <c r="AA30" s="89"/>
      <c r="AB30" s="89"/>
      <c r="AC30" s="91"/>
      <c r="AD30" s="95"/>
      <c r="AE30" s="95"/>
      <c r="AF30" s="95"/>
      <c r="AG30" s="95"/>
      <c r="AH30" s="95"/>
    </row>
    <row r="31" spans="2:34">
      <c r="B31" s="95"/>
      <c r="C31" s="54"/>
      <c r="D31" s="54"/>
      <c r="E31" s="54"/>
      <c r="F31" s="54"/>
      <c r="G31" s="54"/>
      <c r="H31" s="54"/>
      <c r="I31" s="25"/>
      <c r="J31" s="25"/>
      <c r="K31" s="25"/>
      <c r="L31" s="25"/>
      <c r="M31" s="25"/>
      <c r="N31" s="25"/>
      <c r="O31" s="25"/>
      <c r="P31" s="95"/>
      <c r="Q31" s="93"/>
      <c r="R31" s="93"/>
      <c r="S31" s="93"/>
      <c r="T31" s="93"/>
      <c r="U31" s="93"/>
      <c r="V31" s="93"/>
      <c r="W31" s="93"/>
      <c r="X31" s="93"/>
      <c r="Y31" s="28"/>
      <c r="Z31" s="28"/>
      <c r="AA31" s="28"/>
      <c r="AB31" s="28"/>
      <c r="AC31" s="95"/>
      <c r="AD31" s="95"/>
      <c r="AE31" s="95"/>
      <c r="AF31" s="95"/>
      <c r="AG31" s="95"/>
      <c r="AH31" s="95"/>
    </row>
    <row r="32" spans="2:34" ht="16" customHeight="1">
      <c r="B32" s="95"/>
      <c r="C32" s="54"/>
      <c r="D32" s="54"/>
      <c r="E32" s="54"/>
      <c r="F32" s="54"/>
      <c r="L32" s="29"/>
      <c r="M32" s="30"/>
      <c r="N32" s="30"/>
      <c r="O32" s="95"/>
      <c r="P32" s="95"/>
      <c r="Q32" s="95"/>
      <c r="R32" s="95"/>
      <c r="S32" s="95"/>
      <c r="T32" s="95"/>
      <c r="U32" s="95"/>
      <c r="V32" s="95"/>
      <c r="W32" s="95"/>
      <c r="X32" s="95"/>
      <c r="Y32" s="95"/>
      <c r="Z32" s="95"/>
      <c r="AA32" s="95"/>
      <c r="AB32" s="95"/>
      <c r="AC32" s="95"/>
      <c r="AD32" s="95"/>
      <c r="AE32" s="95"/>
      <c r="AF32" s="95"/>
      <c r="AG32" s="95"/>
      <c r="AH32" s="95"/>
    </row>
    <row r="33" spans="2:34">
      <c r="B33" s="95"/>
      <c r="C33" s="54"/>
      <c r="D33" s="54"/>
      <c r="E33" s="95"/>
      <c r="F33" s="95"/>
      <c r="G33" s="56"/>
      <c r="H33" s="56"/>
      <c r="I33" s="56"/>
      <c r="J33" s="56"/>
      <c r="K33" s="34"/>
      <c r="L33" s="95"/>
      <c r="M33" s="95"/>
      <c r="N33" s="95"/>
      <c r="O33" s="95"/>
      <c r="P33" s="95"/>
      <c r="Q33" s="95"/>
      <c r="R33" s="95"/>
      <c r="S33" s="95"/>
      <c r="T33" s="95"/>
      <c r="U33" s="95"/>
      <c r="V33" s="95"/>
      <c r="W33" s="95"/>
      <c r="X33" s="95"/>
      <c r="Y33" s="95"/>
      <c r="Z33" s="95"/>
      <c r="AA33" s="95"/>
      <c r="AB33" s="95"/>
      <c r="AC33" s="95"/>
      <c r="AD33" s="95"/>
      <c r="AE33" s="95"/>
      <c r="AF33" s="95"/>
      <c r="AG33" s="95"/>
      <c r="AH33" s="95"/>
    </row>
    <row r="34" spans="2:34">
      <c r="B34" s="95"/>
      <c r="C34" s="54"/>
      <c r="D34" s="54"/>
      <c r="E34" s="54"/>
      <c r="F34" s="54"/>
      <c r="G34" s="54"/>
      <c r="H34" s="54"/>
      <c r="I34" s="34"/>
      <c r="J34" s="34"/>
      <c r="K34" s="34"/>
      <c r="L34" s="54"/>
      <c r="M34" s="54"/>
      <c r="N34" s="34"/>
      <c r="O34" s="34"/>
      <c r="P34" s="34"/>
      <c r="Q34" s="95"/>
      <c r="R34" s="34"/>
      <c r="S34" s="34"/>
      <c r="T34" s="34"/>
      <c r="U34" s="95"/>
      <c r="V34" s="95"/>
      <c r="W34" s="95"/>
      <c r="X34" s="95"/>
      <c r="Y34" s="95"/>
      <c r="Z34" s="95"/>
      <c r="AA34" s="95"/>
      <c r="AB34" s="95"/>
      <c r="AC34" s="95"/>
      <c r="AD34" s="95"/>
      <c r="AE34" s="95"/>
      <c r="AF34" s="95"/>
      <c r="AG34" s="95"/>
      <c r="AH34" s="95"/>
    </row>
    <row r="35" spans="2:34">
      <c r="B35" s="95"/>
      <c r="C35" s="54"/>
      <c r="D35" s="54"/>
      <c r="E35" s="54"/>
      <c r="F35" s="54"/>
      <c r="G35" s="54"/>
      <c r="H35" s="54"/>
      <c r="I35" s="34"/>
      <c r="J35" s="34"/>
      <c r="K35" s="34"/>
      <c r="L35" s="54"/>
      <c r="M35" s="54"/>
      <c r="N35" s="34"/>
      <c r="O35" s="34"/>
      <c r="P35" s="34"/>
      <c r="Q35" s="54"/>
      <c r="R35" s="34"/>
      <c r="S35" s="34"/>
      <c r="T35" s="34"/>
      <c r="U35" s="54"/>
      <c r="V35" s="24"/>
      <c r="W35" s="24"/>
      <c r="X35" s="54"/>
      <c r="Y35" s="54"/>
      <c r="Z35" s="54"/>
      <c r="AA35" s="54"/>
      <c r="AB35" s="54"/>
      <c r="AC35" s="95"/>
      <c r="AD35" s="95"/>
      <c r="AE35" s="95"/>
      <c r="AF35" s="95"/>
      <c r="AG35" s="95"/>
      <c r="AH35" s="95"/>
    </row>
    <row r="36" spans="2:34">
      <c r="B36" s="95"/>
      <c r="C36" s="54"/>
      <c r="D36" s="95"/>
      <c r="E36" s="95"/>
      <c r="F36" s="95"/>
      <c r="G36" s="24"/>
      <c r="H36" s="24"/>
      <c r="I36" s="24"/>
      <c r="J36" s="24"/>
      <c r="K36" s="54"/>
      <c r="L36" s="54"/>
      <c r="M36" s="54"/>
      <c r="N36" s="30"/>
      <c r="O36" s="54"/>
      <c r="P36" s="54"/>
      <c r="Q36" s="54"/>
      <c r="R36" s="54"/>
      <c r="S36" s="24"/>
      <c r="T36" s="24"/>
      <c r="U36" s="24"/>
      <c r="V36" s="24"/>
      <c r="W36" s="24"/>
      <c r="X36" s="54"/>
      <c r="Y36" s="54"/>
      <c r="Z36" s="54"/>
      <c r="AA36" s="54"/>
      <c r="AB36" s="54"/>
      <c r="AC36" s="95"/>
      <c r="AD36" s="95"/>
      <c r="AE36" s="95"/>
      <c r="AF36" s="95"/>
      <c r="AG36" s="95"/>
      <c r="AH36" s="95"/>
    </row>
    <row r="37" spans="2:34">
      <c r="B37" s="95"/>
      <c r="C37" s="31"/>
      <c r="D37" s="24"/>
      <c r="E37" s="24"/>
      <c r="F37" s="24"/>
      <c r="G37" s="95"/>
      <c r="H37" s="95"/>
      <c r="I37" s="95"/>
      <c r="J37" s="95"/>
      <c r="K37" s="95"/>
      <c r="L37" s="95"/>
      <c r="M37" s="95"/>
      <c r="N37" s="95"/>
      <c r="O37" s="54"/>
      <c r="P37" s="54"/>
      <c r="Q37" s="54"/>
      <c r="R37" s="24"/>
      <c r="S37" s="24"/>
      <c r="T37" s="24"/>
      <c r="U37" s="24"/>
      <c r="V37" s="24"/>
      <c r="W37" s="24"/>
      <c r="X37" s="54"/>
      <c r="Y37" s="54"/>
      <c r="Z37" s="54"/>
      <c r="AA37" s="54"/>
      <c r="AB37" s="54"/>
      <c r="AC37" s="95"/>
      <c r="AD37" s="95"/>
      <c r="AE37" s="95"/>
      <c r="AF37" s="95"/>
      <c r="AG37" s="95"/>
      <c r="AH37" s="95"/>
    </row>
    <row r="38" spans="2:34">
      <c r="B38" s="95"/>
      <c r="C38" s="24"/>
      <c r="D38" s="24"/>
      <c r="E38" s="24"/>
      <c r="F38" s="24"/>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row>
    <row r="39" spans="2:34">
      <c r="B39" s="95"/>
      <c r="C39" s="24"/>
      <c r="D39" s="24"/>
      <c r="E39" s="56"/>
      <c r="F39" s="56"/>
      <c r="G39" s="57"/>
      <c r="H39" s="57"/>
      <c r="I39" s="57"/>
      <c r="J39" s="55"/>
      <c r="K39" s="55"/>
      <c r="L39" s="55"/>
      <c r="M39" s="56"/>
      <c r="N39" s="56"/>
      <c r="O39" s="56"/>
      <c r="P39" s="58"/>
      <c r="Q39" s="58"/>
      <c r="R39" s="58"/>
      <c r="S39" s="56"/>
      <c r="T39" s="56"/>
      <c r="U39" s="56"/>
      <c r="V39" s="56"/>
      <c r="W39" s="56"/>
      <c r="X39" s="56"/>
      <c r="Y39" s="56"/>
      <c r="Z39" s="56"/>
      <c r="AA39" s="56"/>
      <c r="AB39" s="56"/>
      <c r="AC39" s="95"/>
      <c r="AD39" s="95"/>
      <c r="AE39" s="95"/>
      <c r="AF39" s="95"/>
      <c r="AG39" s="95"/>
      <c r="AH39" s="95"/>
    </row>
    <row r="40" spans="2:34">
      <c r="B40" s="95"/>
      <c r="C40" s="95"/>
      <c r="D40" s="95"/>
      <c r="E40" s="58"/>
      <c r="F40" s="58"/>
      <c r="G40" s="58"/>
      <c r="H40" s="58"/>
      <c r="I40" s="58"/>
      <c r="J40" s="56"/>
      <c r="K40" s="56"/>
      <c r="L40" s="56"/>
      <c r="M40" s="56"/>
      <c r="N40" s="56"/>
      <c r="O40" s="56"/>
      <c r="P40" s="58"/>
      <c r="Q40" s="58"/>
      <c r="R40" s="58"/>
      <c r="S40" s="56"/>
      <c r="T40" s="56"/>
      <c r="U40" s="56"/>
      <c r="V40" s="56"/>
      <c r="W40" s="56"/>
      <c r="X40" s="56"/>
      <c r="Y40" s="56"/>
      <c r="Z40" s="56"/>
      <c r="AA40" s="56"/>
      <c r="AB40" s="56"/>
      <c r="AC40" s="95"/>
      <c r="AD40" s="95"/>
      <c r="AE40" s="95"/>
      <c r="AF40" s="95"/>
      <c r="AG40" s="95"/>
      <c r="AH40" s="95"/>
    </row>
    <row r="41" spans="2:34">
      <c r="B41" s="95"/>
      <c r="C41" s="29"/>
      <c r="D41" s="30"/>
      <c r="E41" s="56"/>
      <c r="F41" s="56"/>
      <c r="G41" s="56"/>
      <c r="H41" s="56"/>
      <c r="I41" s="56"/>
      <c r="J41" s="56"/>
      <c r="K41" s="56"/>
      <c r="L41" s="56"/>
      <c r="M41" s="56"/>
      <c r="N41" s="56"/>
      <c r="O41" s="56"/>
      <c r="P41" s="56"/>
      <c r="Q41" s="56"/>
      <c r="R41" s="56"/>
      <c r="S41" s="56"/>
      <c r="T41" s="56"/>
      <c r="U41" s="56"/>
      <c r="V41" s="56"/>
      <c r="W41" s="56"/>
      <c r="X41" s="56"/>
      <c r="Y41" s="56"/>
      <c r="Z41" s="56"/>
      <c r="AA41" s="56"/>
      <c r="AB41" s="56"/>
      <c r="AC41" s="95"/>
      <c r="AD41" s="95"/>
      <c r="AE41" s="95"/>
      <c r="AF41" s="95"/>
      <c r="AG41" s="95"/>
      <c r="AH41" s="95"/>
    </row>
    <row r="42" spans="2:34">
      <c r="B42" s="95"/>
      <c r="C42" s="95"/>
      <c r="D42" s="95"/>
      <c r="E42" s="56"/>
      <c r="F42" s="56"/>
      <c r="G42" s="56"/>
      <c r="H42" s="56"/>
      <c r="I42" s="56"/>
      <c r="J42" s="56"/>
      <c r="K42" s="56"/>
      <c r="L42" s="56"/>
      <c r="M42" s="56"/>
      <c r="N42" s="56"/>
      <c r="O42" s="56"/>
      <c r="P42" s="56"/>
      <c r="Q42" s="56"/>
      <c r="R42" s="56"/>
      <c r="S42" s="56"/>
      <c r="T42" s="56"/>
      <c r="U42" s="56"/>
      <c r="V42" s="56"/>
      <c r="W42" s="56"/>
      <c r="X42" s="56"/>
      <c r="Y42" s="56"/>
      <c r="Z42" s="56"/>
      <c r="AA42" s="56"/>
      <c r="AB42" s="56"/>
      <c r="AC42" s="95"/>
      <c r="AD42" s="95"/>
      <c r="AE42" s="95"/>
      <c r="AF42" s="95"/>
      <c r="AG42" s="95"/>
      <c r="AH42" s="95"/>
    </row>
    <row r="43" spans="2:34">
      <c r="B43" s="95"/>
      <c r="C43" s="29"/>
      <c r="D43" s="30"/>
      <c r="E43" s="30"/>
      <c r="F43" s="30"/>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row>
    <row r="44" spans="2:34">
      <c r="B44" s="95"/>
      <c r="C44" s="95"/>
      <c r="D44" s="95"/>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row>
    <row r="45" spans="2:34">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row>
    <row r="46" spans="2:34">
      <c r="B46" s="95"/>
      <c r="C46" s="54"/>
      <c r="D46" s="24"/>
      <c r="E46" s="24"/>
      <c r="F46" s="24"/>
      <c r="G46" s="54"/>
      <c r="H46" s="54"/>
      <c r="I46" s="54"/>
      <c r="J46" s="54"/>
      <c r="K46" s="54"/>
      <c r="L46" s="54"/>
      <c r="M46" s="24"/>
      <c r="N46" s="24"/>
      <c r="O46" s="24"/>
      <c r="P46" s="54"/>
      <c r="Q46" s="24"/>
      <c r="R46" s="24"/>
      <c r="S46" s="24"/>
      <c r="T46" s="95"/>
      <c r="U46" s="95"/>
      <c r="V46" s="95"/>
      <c r="W46" s="95"/>
      <c r="X46" s="95"/>
      <c r="Y46" s="95"/>
      <c r="Z46" s="95"/>
      <c r="AA46" s="95"/>
      <c r="AB46" s="95"/>
      <c r="AC46" s="95"/>
      <c r="AD46" s="95"/>
      <c r="AE46" s="95"/>
      <c r="AF46" s="95"/>
      <c r="AG46" s="95"/>
      <c r="AH46" s="95"/>
    </row>
    <row r="47" spans="2:34">
      <c r="B47" s="95"/>
      <c r="C47" s="54"/>
      <c r="D47" s="24"/>
      <c r="E47" s="24"/>
      <c r="F47" s="24"/>
      <c r="G47" s="54"/>
      <c r="H47" s="54"/>
      <c r="I47" s="54"/>
      <c r="J47" s="54"/>
      <c r="K47" s="54"/>
      <c r="L47" s="54"/>
      <c r="M47" s="24"/>
      <c r="N47" s="24"/>
      <c r="O47" s="24"/>
      <c r="P47" s="24"/>
      <c r="Q47" s="24"/>
      <c r="R47" s="24"/>
      <c r="S47" s="24"/>
      <c r="T47" s="95"/>
      <c r="U47" s="95"/>
      <c r="V47" s="95"/>
      <c r="W47" s="95"/>
      <c r="X47" s="95"/>
      <c r="Y47" s="95"/>
      <c r="Z47" s="95"/>
      <c r="AA47" s="95"/>
      <c r="AB47" s="95"/>
      <c r="AC47" s="95"/>
      <c r="AD47" s="95"/>
      <c r="AE47" s="95"/>
      <c r="AF47" s="95"/>
      <c r="AG47" s="95"/>
      <c r="AH47" s="95"/>
    </row>
    <row r="48" spans="2:34">
      <c r="B48" s="95"/>
      <c r="C48" s="54"/>
      <c r="D48" s="24"/>
      <c r="E48" s="24"/>
      <c r="F48" s="24"/>
      <c r="G48" s="54"/>
      <c r="H48" s="54"/>
      <c r="I48" s="54"/>
      <c r="J48" s="54"/>
      <c r="K48" s="54"/>
      <c r="L48" s="54"/>
      <c r="M48" s="24"/>
      <c r="N48" s="24"/>
      <c r="O48" s="24"/>
      <c r="P48" s="24"/>
      <c r="Q48" s="24"/>
      <c r="R48" s="24"/>
      <c r="S48" s="24"/>
      <c r="T48" s="95"/>
      <c r="U48" s="95"/>
      <c r="V48" s="95"/>
      <c r="W48" s="95"/>
      <c r="X48" s="95"/>
      <c r="Y48" s="95"/>
      <c r="Z48" s="95"/>
      <c r="AA48" s="95"/>
      <c r="AB48" s="95"/>
      <c r="AC48" s="95"/>
      <c r="AD48" s="95"/>
      <c r="AE48" s="95"/>
      <c r="AF48" s="95"/>
      <c r="AG48" s="95"/>
      <c r="AH48" s="95"/>
    </row>
    <row r="49" spans="2:34">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row>
    <row r="50" spans="2:34">
      <c r="B50" s="95"/>
      <c r="C50" s="95"/>
      <c r="D50" s="95"/>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row>
    <row r="51" spans="2:34">
      <c r="B51" s="95"/>
      <c r="C51" s="95"/>
      <c r="D51" s="95"/>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row>
    <row r="52" spans="2:34">
      <c r="B52" s="95"/>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95"/>
      <c r="AG52" s="95"/>
      <c r="AH52" s="95"/>
    </row>
    <row r="53" spans="2:34">
      <c r="B53" s="95"/>
      <c r="C53" s="95"/>
      <c r="D53" s="95"/>
      <c r="E53" s="95"/>
      <c r="F53" s="95"/>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row>
    <row r="54" spans="2:34">
      <c r="B54" s="95"/>
      <c r="C54" s="95"/>
      <c r="D54" s="95"/>
      <c r="E54" s="95"/>
      <c r="F54" s="95"/>
      <c r="G54" s="95"/>
      <c r="H54" s="95"/>
      <c r="I54" s="95"/>
      <c r="J54" s="95"/>
      <c r="K54" s="95"/>
      <c r="L54" s="95"/>
      <c r="M54" s="95"/>
      <c r="N54" s="95"/>
      <c r="O54" s="95"/>
      <c r="P54" s="95"/>
      <c r="Q54" s="95"/>
      <c r="R54" s="95"/>
      <c r="S54" s="95"/>
      <c r="T54" s="95"/>
      <c r="U54" s="95"/>
      <c r="V54" s="95"/>
      <c r="W54" s="95"/>
      <c r="X54" s="95"/>
      <c r="Y54" s="95"/>
      <c r="Z54" s="95"/>
      <c r="AA54" s="95"/>
      <c r="AB54" s="95"/>
      <c r="AC54" s="95"/>
      <c r="AD54" s="95"/>
      <c r="AE54" s="95"/>
      <c r="AF54" s="95"/>
      <c r="AG54" s="95"/>
      <c r="AH54" s="95"/>
    </row>
    <row r="55" spans="2:34">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row>
    <row r="56" spans="2:34">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row>
    <row r="57" spans="2:34">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row>
    <row r="58" spans="2:34">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row>
    <row r="59" spans="2:34">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row>
    <row r="60" spans="2:34">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row>
    <row r="61" spans="2:34">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row>
    <row r="62" spans="2:34">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row>
    <row r="63" spans="2:34">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row>
    <row r="64" spans="2:34">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row>
    <row r="65" spans="2:34">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row>
    <row r="66" spans="2:34">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row>
    <row r="67" spans="2:34">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row>
    <row r="68" spans="2:34">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row>
    <row r="69" spans="2:34">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row>
    <row r="70" spans="2:3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row>
    <row r="71" spans="2:34">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row>
    <row r="72" spans="2:34">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row>
    <row r="73" spans="2:34">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row>
    <row r="74" spans="2:34">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row>
    <row r="75" spans="2:34">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row>
    <row r="76" spans="2:34">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row>
    <row r="77" spans="2:34">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row>
    <row r="78" spans="2:34">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row>
    <row r="79" spans="2:34">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row>
    <row r="80" spans="2:34">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row>
    <row r="81" spans="2:34">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row>
    <row r="82" spans="2:34">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row>
    <row r="83" spans="2:34">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row>
    <row r="84" spans="2:34">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row>
    <row r="85" spans="2:34">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row>
    <row r="86" spans="2:34">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row>
    <row r="87" spans="2:34">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row>
    <row r="88" spans="2:34">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row>
    <row r="89" spans="2:34">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row>
    <row r="90" spans="2:34">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row>
    <row r="91" spans="2:34">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row>
    <row r="92" spans="2:34">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row>
  </sheetData>
  <sheetProtection algorithmName="SHA-512" hashValue="mNd1XhuJev5zr4/17gSrBlnWaBJhzKy04EPdlcHRIRwyqAAf/7LauqpkjIR3ZJspx6o5ePagNWZr5W4PF9rBIA==" saltValue="TCUL1kbAsoWcancVKurIXw==" spinCount="100000" sheet="1" objects="1" scenarios="1"/>
  <mergeCells count="25">
    <mergeCell ref="O2:S2"/>
    <mergeCell ref="O4:S4"/>
    <mergeCell ref="R7:T7"/>
    <mergeCell ref="U7:V7"/>
    <mergeCell ref="J7:Q7"/>
    <mergeCell ref="C6:AB6"/>
    <mergeCell ref="C10:AA10"/>
    <mergeCell ref="F11:H11"/>
    <mergeCell ref="I14:K15"/>
    <mergeCell ref="O11:R12"/>
    <mergeCell ref="C11:E11"/>
    <mergeCell ref="I11:K11"/>
    <mergeCell ref="L11:N12"/>
    <mergeCell ref="C29:D29"/>
    <mergeCell ref="L13:N14"/>
    <mergeCell ref="C19:P26"/>
    <mergeCell ref="Q19:X19"/>
    <mergeCell ref="Q25:X29"/>
    <mergeCell ref="C14:E15"/>
    <mergeCell ref="C13:E13"/>
    <mergeCell ref="F15:H15"/>
    <mergeCell ref="F12:H13"/>
    <mergeCell ref="F14:H14"/>
    <mergeCell ref="I12:K13"/>
    <mergeCell ref="C12:E12"/>
  </mergeCells>
  <conditionalFormatting sqref="V39">
    <cfRule type="expression" dxfId="17" priority="4">
      <formula>AND($R$9&lt;3000)=TRUE</formula>
    </cfRule>
  </conditionalFormatting>
  <conditionalFormatting sqref="T9">
    <cfRule type="containsText" dxfId="16" priority="9" operator="containsText" text="460">
      <formula>NOT(ISERROR(SEARCH("460",T9)))</formula>
    </cfRule>
  </conditionalFormatting>
  <conditionalFormatting sqref="U9">
    <cfRule type="containsText" dxfId="15" priority="7" operator="containsText" text="19">
      <formula>NOT(ISERROR(SEARCH("19",U9)))</formula>
    </cfRule>
    <cfRule type="containsText" dxfId="14" priority="8" operator="containsText" text="10">
      <formula>NOT(ISERROR(SEARCH("10",U9)))</formula>
    </cfRule>
  </conditionalFormatting>
  <conditionalFormatting sqref="Z11 V41">
    <cfRule type="expression" dxfId="13" priority="5">
      <formula>AND($R$9&lt;3000)=TRUE</formula>
    </cfRule>
  </conditionalFormatting>
  <conditionalFormatting sqref="I9">
    <cfRule type="containsText" dxfId="12" priority="2" operator="containsText" text="80">
      <formula>NOT(ISERROR(SEARCH("80",I9)))</formula>
    </cfRule>
  </conditionalFormatting>
  <conditionalFormatting sqref="O11">
    <cfRule type="expression" dxfId="11" priority="1">
      <formula>AND($Q$9&lt;3000)=TRUE</formula>
    </cfRule>
  </conditionalFormatting>
  <dataValidations count="1">
    <dataValidation type="list" allowBlank="1" showInputMessage="1" showErrorMessage="1" sqref="O4:S4" xr:uid="{00000000-0002-0000-0400-000000000000}">
      <formula1>MLX</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pageSetUpPr fitToPage="1"/>
  </sheetPr>
  <dimension ref="A1:AL106"/>
  <sheetViews>
    <sheetView zoomScale="90" zoomScaleNormal="90" workbookViewId="0">
      <pane xSplit="1" ySplit="3" topLeftCell="N64" activePane="bottomRight" state="frozenSplit"/>
      <selection pane="topRight" activeCell="J1" sqref="J1"/>
      <selection pane="bottomLeft" activeCell="A12" sqref="A12"/>
      <selection pane="bottomRight" activeCell="AB68" sqref="AB68"/>
    </sheetView>
  </sheetViews>
  <sheetFormatPr defaultColWidth="10.83203125" defaultRowHeight="15.5"/>
  <cols>
    <col min="1" max="1" width="33.75" customWidth="1"/>
    <col min="2" max="2" width="10.83203125" customWidth="1"/>
    <col min="5" max="7" width="12" customWidth="1"/>
    <col min="8" max="8" width="12.5" customWidth="1"/>
    <col min="11" max="11" width="11.33203125" customWidth="1"/>
    <col min="18" max="18" width="15.5" customWidth="1"/>
    <col min="20" max="20" width="12" customWidth="1"/>
    <col min="21" max="21" width="15.83203125" bestFit="1" customWidth="1"/>
    <col min="24" max="24" width="12.58203125" customWidth="1"/>
    <col min="25" max="25" width="13.33203125" customWidth="1"/>
    <col min="26" max="26" width="13.5" customWidth="1"/>
    <col min="27" max="27" width="28" customWidth="1"/>
    <col min="28" max="29" width="36" customWidth="1"/>
  </cols>
  <sheetData>
    <row r="1" spans="1:31" ht="17.149999999999999" customHeight="1">
      <c r="B1" s="266" t="s">
        <v>97</v>
      </c>
      <c r="C1" s="266"/>
      <c r="D1" s="266"/>
      <c r="E1" s="266"/>
      <c r="F1" s="266"/>
      <c r="G1" s="266"/>
      <c r="H1" s="266"/>
      <c r="I1" s="266"/>
      <c r="J1" s="266"/>
      <c r="K1" s="266"/>
      <c r="L1" s="266"/>
      <c r="M1" s="266"/>
      <c r="N1" s="266"/>
      <c r="O1" s="266"/>
      <c r="P1" s="266"/>
      <c r="Q1" s="266"/>
      <c r="R1" s="266"/>
      <c r="S1" s="266"/>
      <c r="T1" s="266"/>
      <c r="U1" s="266"/>
      <c r="V1" s="266"/>
      <c r="W1" s="266"/>
      <c r="X1" s="266"/>
      <c r="Y1" s="266"/>
      <c r="Z1" s="266"/>
      <c r="AA1" s="266"/>
    </row>
    <row r="2" spans="1:31">
      <c r="B2" s="99"/>
      <c r="C2" s="99"/>
      <c r="D2" s="99"/>
      <c r="E2" s="99"/>
      <c r="F2" s="99"/>
      <c r="G2" s="99"/>
      <c r="H2" s="267" t="s">
        <v>0</v>
      </c>
      <c r="I2" s="268"/>
      <c r="J2" s="268"/>
      <c r="K2" s="268"/>
      <c r="L2" s="268"/>
      <c r="M2" s="268"/>
      <c r="N2" s="268"/>
      <c r="O2" s="269"/>
      <c r="P2" s="267" t="s">
        <v>1</v>
      </c>
      <c r="Q2" s="268"/>
      <c r="R2" s="269"/>
      <c r="S2" s="266" t="s">
        <v>2</v>
      </c>
      <c r="T2" s="266"/>
      <c r="U2" s="266"/>
      <c r="V2" s="180"/>
      <c r="W2" s="180"/>
      <c r="X2" s="180"/>
      <c r="Y2" s="180"/>
      <c r="Z2" s="180"/>
      <c r="AA2" s="180"/>
      <c r="AB2" s="1"/>
    </row>
    <row r="3" spans="1:31" ht="44.15" customHeight="1">
      <c r="A3" s="5"/>
      <c r="B3" s="100" t="s">
        <v>18</v>
      </c>
      <c r="C3" s="100" t="s">
        <v>3</v>
      </c>
      <c r="D3" s="100" t="s">
        <v>4</v>
      </c>
      <c r="E3" s="101" t="s">
        <v>24</v>
      </c>
      <c r="F3" s="100" t="s">
        <v>30</v>
      </c>
      <c r="G3" s="101" t="s">
        <v>80</v>
      </c>
      <c r="H3" s="100" t="s">
        <v>81</v>
      </c>
      <c r="I3" s="101" t="s">
        <v>113</v>
      </c>
      <c r="J3" s="100" t="s">
        <v>19</v>
      </c>
      <c r="K3" s="100" t="s">
        <v>20</v>
      </c>
      <c r="L3" s="100" t="s">
        <v>83</v>
      </c>
      <c r="M3" s="100" t="s">
        <v>82</v>
      </c>
      <c r="N3" s="100" t="s">
        <v>21</v>
      </c>
      <c r="O3" s="100" t="s">
        <v>64</v>
      </c>
      <c r="P3" s="100" t="s">
        <v>5</v>
      </c>
      <c r="Q3" s="100" t="s">
        <v>22</v>
      </c>
      <c r="R3" s="158" t="s">
        <v>63</v>
      </c>
      <c r="S3" s="100" t="s">
        <v>61</v>
      </c>
      <c r="T3" s="100" t="s">
        <v>7</v>
      </c>
      <c r="U3" s="100" t="s">
        <v>26</v>
      </c>
      <c r="V3" s="100" t="s">
        <v>62</v>
      </c>
      <c r="W3" s="100" t="s">
        <v>25</v>
      </c>
      <c r="X3" s="101" t="s">
        <v>6</v>
      </c>
      <c r="Y3" s="100" t="s">
        <v>27</v>
      </c>
      <c r="Z3" s="101" t="s">
        <v>114</v>
      </c>
      <c r="AA3" s="100" t="s">
        <v>8</v>
      </c>
      <c r="AB3" s="175" t="s">
        <v>271</v>
      </c>
      <c r="AC3" s="176" t="s">
        <v>272</v>
      </c>
    </row>
    <row r="4" spans="1:31" ht="37" customHeight="1">
      <c r="A4" s="5" t="s">
        <v>85</v>
      </c>
      <c r="B4" s="102" t="s">
        <v>9</v>
      </c>
      <c r="C4" s="102" t="s">
        <v>10</v>
      </c>
      <c r="D4" s="102" t="s">
        <v>11</v>
      </c>
      <c r="E4" s="103" t="s">
        <v>48</v>
      </c>
      <c r="F4" s="104" t="s">
        <v>48</v>
      </c>
      <c r="G4" s="99"/>
      <c r="H4" s="105" t="s">
        <v>48</v>
      </c>
      <c r="I4" s="105"/>
      <c r="J4" s="102" t="s">
        <v>13</v>
      </c>
      <c r="K4" s="100">
        <v>160</v>
      </c>
      <c r="L4" s="105" t="s">
        <v>48</v>
      </c>
      <c r="M4" s="105" t="s">
        <v>48</v>
      </c>
      <c r="N4" s="104" t="s">
        <v>48</v>
      </c>
      <c r="O4" s="104" t="s">
        <v>48</v>
      </c>
      <c r="P4" s="100" t="s">
        <v>28</v>
      </c>
      <c r="Q4" s="104" t="s">
        <v>48</v>
      </c>
      <c r="R4" s="104" t="s">
        <v>48</v>
      </c>
      <c r="S4" s="104" t="s">
        <v>48</v>
      </c>
      <c r="T4" s="104" t="s">
        <v>48</v>
      </c>
      <c r="U4" s="104" t="s">
        <v>48</v>
      </c>
      <c r="V4" s="104" t="s">
        <v>48</v>
      </c>
      <c r="W4" s="104" t="s">
        <v>48</v>
      </c>
      <c r="X4" s="104"/>
      <c r="Y4" s="100" t="s">
        <v>29</v>
      </c>
      <c r="Z4" s="100" t="s">
        <v>115</v>
      </c>
      <c r="AA4" s="104" t="s">
        <v>48</v>
      </c>
      <c r="AB4" s="15" t="s">
        <v>56</v>
      </c>
      <c r="AC4" s="6" t="s">
        <v>59</v>
      </c>
      <c r="AD4" s="51"/>
    </row>
    <row r="5" spans="1:31" ht="21">
      <c r="A5" s="2" t="s">
        <v>298</v>
      </c>
      <c r="B5" s="102" t="s">
        <v>9</v>
      </c>
      <c r="C5" s="102" t="s">
        <v>10</v>
      </c>
      <c r="D5" s="102" t="s">
        <v>11</v>
      </c>
      <c r="E5" s="100" t="s">
        <v>112</v>
      </c>
      <c r="F5" s="100" t="s">
        <v>12</v>
      </c>
      <c r="G5" s="100">
        <v>95.5</v>
      </c>
      <c r="H5" s="105" t="s">
        <v>48</v>
      </c>
      <c r="I5" s="105">
        <v>16.25</v>
      </c>
      <c r="J5" s="102" t="s">
        <v>13</v>
      </c>
      <c r="K5" s="100">
        <v>160</v>
      </c>
      <c r="L5" s="105" t="s">
        <v>48</v>
      </c>
      <c r="M5" s="105" t="s">
        <v>48</v>
      </c>
      <c r="N5" s="100" t="s">
        <v>14</v>
      </c>
      <c r="O5" s="100" t="s">
        <v>46</v>
      </c>
      <c r="P5" s="100" t="s">
        <v>28</v>
      </c>
      <c r="Q5" s="100">
        <v>750</v>
      </c>
      <c r="R5" s="106" t="s">
        <v>23</v>
      </c>
      <c r="S5" s="100" t="s">
        <v>16</v>
      </c>
      <c r="T5" s="100">
        <v>13</v>
      </c>
      <c r="U5" s="107">
        <v>1</v>
      </c>
      <c r="V5" s="100" t="s">
        <v>15</v>
      </c>
      <c r="W5" s="100">
        <v>820</v>
      </c>
      <c r="X5" s="101" t="s">
        <v>47</v>
      </c>
      <c r="Y5" s="100" t="s">
        <v>29</v>
      </c>
      <c r="Z5" s="100" t="s">
        <v>115</v>
      </c>
      <c r="AA5" s="100" t="s">
        <v>299</v>
      </c>
      <c r="AB5" s="15" t="s">
        <v>57</v>
      </c>
      <c r="AC5" s="6" t="s">
        <v>32</v>
      </c>
      <c r="AD5" s="51"/>
    </row>
    <row r="6" spans="1:31" ht="21">
      <c r="A6" s="3" t="s">
        <v>300</v>
      </c>
      <c r="B6" s="102" t="s">
        <v>9</v>
      </c>
      <c r="C6" s="102" t="s">
        <v>10</v>
      </c>
      <c r="D6" s="102" t="s">
        <v>11</v>
      </c>
      <c r="E6" s="100" t="s">
        <v>112</v>
      </c>
      <c r="F6" s="100" t="s">
        <v>33</v>
      </c>
      <c r="G6" s="100">
        <v>96.8</v>
      </c>
      <c r="H6" s="105" t="s">
        <v>48</v>
      </c>
      <c r="I6" s="105">
        <v>14.25</v>
      </c>
      <c r="J6" s="102" t="s">
        <v>13</v>
      </c>
      <c r="K6" s="100">
        <v>160</v>
      </c>
      <c r="L6" s="105" t="s">
        <v>48</v>
      </c>
      <c r="M6" s="105" t="s">
        <v>48</v>
      </c>
      <c r="N6" s="100" t="s">
        <v>14</v>
      </c>
      <c r="O6" s="100" t="s">
        <v>46</v>
      </c>
      <c r="P6" s="100" t="s">
        <v>28</v>
      </c>
      <c r="Q6" s="100">
        <v>1000</v>
      </c>
      <c r="R6" s="106" t="s">
        <v>23</v>
      </c>
      <c r="S6" s="100" t="s">
        <v>16</v>
      </c>
      <c r="T6" s="100">
        <v>13</v>
      </c>
      <c r="U6" s="107">
        <v>1</v>
      </c>
      <c r="V6" s="100" t="s">
        <v>15</v>
      </c>
      <c r="W6" s="100">
        <v>820</v>
      </c>
      <c r="X6" s="101" t="s">
        <v>47</v>
      </c>
      <c r="Y6" s="100" t="s">
        <v>29</v>
      </c>
      <c r="Z6" s="100" t="s">
        <v>115</v>
      </c>
      <c r="AA6" s="100" t="s">
        <v>301</v>
      </c>
      <c r="AB6" s="15" t="s">
        <v>58</v>
      </c>
      <c r="AC6" s="6" t="s">
        <v>32</v>
      </c>
      <c r="AD6" s="51"/>
    </row>
    <row r="7" spans="1:31" ht="21">
      <c r="A7" s="2" t="s">
        <v>302</v>
      </c>
      <c r="B7" s="102" t="s">
        <v>9</v>
      </c>
      <c r="C7" s="102" t="s">
        <v>10</v>
      </c>
      <c r="D7" s="102" t="s">
        <v>11</v>
      </c>
      <c r="E7" s="100" t="s">
        <v>112</v>
      </c>
      <c r="F7" s="100" t="s">
        <v>34</v>
      </c>
      <c r="G7" s="100">
        <v>94.6</v>
      </c>
      <c r="H7" s="105" t="s">
        <v>48</v>
      </c>
      <c r="I7" s="105">
        <v>44</v>
      </c>
      <c r="J7" s="102" t="s">
        <v>13</v>
      </c>
      <c r="K7" s="100">
        <v>160</v>
      </c>
      <c r="L7" s="105" t="s">
        <v>48</v>
      </c>
      <c r="M7" s="105" t="s">
        <v>48</v>
      </c>
      <c r="N7" s="100" t="s">
        <v>35</v>
      </c>
      <c r="O7" s="100" t="s">
        <v>52</v>
      </c>
      <c r="P7" s="100" t="s">
        <v>28</v>
      </c>
      <c r="Q7" s="100">
        <v>1500</v>
      </c>
      <c r="R7" s="106" t="s">
        <v>23</v>
      </c>
      <c r="S7" s="100" t="s">
        <v>16</v>
      </c>
      <c r="T7" s="100">
        <v>16</v>
      </c>
      <c r="U7" s="107">
        <v>1.6</v>
      </c>
      <c r="V7" s="100" t="s">
        <v>36</v>
      </c>
      <c r="W7" s="100">
        <v>1654</v>
      </c>
      <c r="X7" s="101" t="s">
        <v>47</v>
      </c>
      <c r="Y7" s="100" t="s">
        <v>29</v>
      </c>
      <c r="Z7" s="100" t="s">
        <v>115</v>
      </c>
      <c r="AA7" s="100" t="s">
        <v>303</v>
      </c>
      <c r="AB7" s="15" t="s">
        <v>58</v>
      </c>
      <c r="AC7" s="6" t="s">
        <v>32</v>
      </c>
      <c r="AD7" s="51"/>
    </row>
    <row r="8" spans="1:31" ht="21">
      <c r="A8" s="3" t="s">
        <v>304</v>
      </c>
      <c r="B8" s="102" t="s">
        <v>9</v>
      </c>
      <c r="C8" s="102" t="s">
        <v>10</v>
      </c>
      <c r="D8" s="102" t="s">
        <v>11</v>
      </c>
      <c r="E8" s="100" t="s">
        <v>112</v>
      </c>
      <c r="F8" s="100" t="s">
        <v>37</v>
      </c>
      <c r="G8" s="100">
        <v>94.6</v>
      </c>
      <c r="H8" s="105" t="s">
        <v>48</v>
      </c>
      <c r="I8" s="105">
        <v>40</v>
      </c>
      <c r="J8" s="102" t="s">
        <v>13</v>
      </c>
      <c r="K8" s="100">
        <v>160</v>
      </c>
      <c r="L8" s="105" t="s">
        <v>48</v>
      </c>
      <c r="M8" s="105" t="s">
        <v>48</v>
      </c>
      <c r="N8" s="100" t="s">
        <v>38</v>
      </c>
      <c r="O8" s="100" t="s">
        <v>52</v>
      </c>
      <c r="P8" s="100" t="s">
        <v>28</v>
      </c>
      <c r="Q8" s="100">
        <v>2000</v>
      </c>
      <c r="R8" s="106" t="s">
        <v>23</v>
      </c>
      <c r="S8" s="100" t="s">
        <v>16</v>
      </c>
      <c r="T8" s="100">
        <v>16</v>
      </c>
      <c r="U8" s="107">
        <v>1.6</v>
      </c>
      <c r="V8" s="100" t="s">
        <v>39</v>
      </c>
      <c r="W8" s="100">
        <v>1654</v>
      </c>
      <c r="X8" s="101" t="s">
        <v>47</v>
      </c>
      <c r="Y8" s="100" t="s">
        <v>29</v>
      </c>
      <c r="Z8" s="100" t="s">
        <v>115</v>
      </c>
      <c r="AA8" s="100" t="s">
        <v>305</v>
      </c>
      <c r="AB8" s="15" t="s">
        <v>58</v>
      </c>
      <c r="AC8" s="6" t="s">
        <v>32</v>
      </c>
      <c r="AD8" s="51"/>
    </row>
    <row r="9" spans="1:31" ht="21">
      <c r="A9" s="2" t="s">
        <v>306</v>
      </c>
      <c r="B9" s="102" t="s">
        <v>9</v>
      </c>
      <c r="C9" s="102" t="s">
        <v>10</v>
      </c>
      <c r="D9" s="102" t="s">
        <v>11</v>
      </c>
      <c r="E9" s="100" t="s">
        <v>112</v>
      </c>
      <c r="F9" s="100" t="s">
        <v>40</v>
      </c>
      <c r="G9" s="100">
        <v>93.5</v>
      </c>
      <c r="H9" s="105" t="s">
        <v>48</v>
      </c>
      <c r="I9" s="105">
        <v>58</v>
      </c>
      <c r="J9" s="102" t="s">
        <v>13</v>
      </c>
      <c r="K9" s="100">
        <v>160</v>
      </c>
      <c r="L9" s="105" t="s">
        <v>48</v>
      </c>
      <c r="M9" s="105" t="s">
        <v>48</v>
      </c>
      <c r="N9" s="100" t="s">
        <v>38</v>
      </c>
      <c r="O9" s="100" t="s">
        <v>53</v>
      </c>
      <c r="P9" s="100" t="s">
        <v>28</v>
      </c>
      <c r="Q9" s="100">
        <v>2500</v>
      </c>
      <c r="R9" s="106" t="s">
        <v>23</v>
      </c>
      <c r="S9" s="102" t="s">
        <v>49</v>
      </c>
      <c r="T9" s="102" t="s">
        <v>50</v>
      </c>
      <c r="U9" s="108" t="s">
        <v>60</v>
      </c>
      <c r="V9" s="100" t="s">
        <v>41</v>
      </c>
      <c r="W9" s="100">
        <v>2580</v>
      </c>
      <c r="X9" s="101" t="s">
        <v>47</v>
      </c>
      <c r="Y9" s="100" t="s">
        <v>29</v>
      </c>
      <c r="Z9" s="100" t="s">
        <v>115</v>
      </c>
      <c r="AA9" s="100" t="s">
        <v>307</v>
      </c>
      <c r="AB9" s="15" t="s">
        <v>57</v>
      </c>
      <c r="AC9" s="6" t="s">
        <v>42</v>
      </c>
      <c r="AD9" s="51"/>
    </row>
    <row r="10" spans="1:31" ht="21">
      <c r="A10" s="3" t="s">
        <v>308</v>
      </c>
      <c r="B10" s="102" t="s">
        <v>9</v>
      </c>
      <c r="C10" s="102" t="s">
        <v>10</v>
      </c>
      <c r="D10" s="102" t="s">
        <v>11</v>
      </c>
      <c r="E10" s="100" t="s">
        <v>112</v>
      </c>
      <c r="F10" s="100" t="s">
        <v>43</v>
      </c>
      <c r="G10" s="100">
        <v>93.5</v>
      </c>
      <c r="H10" s="105" t="s">
        <v>48</v>
      </c>
      <c r="I10" s="105">
        <v>55</v>
      </c>
      <c r="J10" s="102" t="s">
        <v>13</v>
      </c>
      <c r="K10" s="100">
        <v>160</v>
      </c>
      <c r="L10" s="105" t="s">
        <v>48</v>
      </c>
      <c r="M10" s="105" t="s">
        <v>48</v>
      </c>
      <c r="N10" s="100" t="s">
        <v>44</v>
      </c>
      <c r="O10" s="100" t="s">
        <v>54</v>
      </c>
      <c r="P10" s="100" t="s">
        <v>28</v>
      </c>
      <c r="Q10" s="100">
        <v>3000</v>
      </c>
      <c r="R10" s="106" t="s">
        <v>23</v>
      </c>
      <c r="S10" s="102" t="s">
        <v>49</v>
      </c>
      <c r="T10" s="102" t="s">
        <v>50</v>
      </c>
      <c r="U10" s="108" t="s">
        <v>60</v>
      </c>
      <c r="V10" s="100" t="s">
        <v>41</v>
      </c>
      <c r="W10" s="100">
        <v>2580</v>
      </c>
      <c r="X10" s="101" t="s">
        <v>47</v>
      </c>
      <c r="Y10" s="100" t="s">
        <v>29</v>
      </c>
      <c r="Z10" s="100" t="s">
        <v>115</v>
      </c>
      <c r="AA10" s="100" t="s">
        <v>309</v>
      </c>
      <c r="AB10" s="15" t="s">
        <v>57</v>
      </c>
      <c r="AC10" s="6" t="s">
        <v>42</v>
      </c>
      <c r="AD10" s="51"/>
    </row>
    <row r="11" spans="1:31" ht="37.5" customHeight="1">
      <c r="A11" s="2" t="s">
        <v>310</v>
      </c>
      <c r="B11" s="102" t="s">
        <v>9</v>
      </c>
      <c r="C11" s="102" t="s">
        <v>10</v>
      </c>
      <c r="D11" s="102" t="s">
        <v>11</v>
      </c>
      <c r="E11" s="100" t="s">
        <v>112</v>
      </c>
      <c r="F11" s="187" t="s">
        <v>276</v>
      </c>
      <c r="G11" s="187">
        <v>95</v>
      </c>
      <c r="H11" s="105" t="s">
        <v>48</v>
      </c>
      <c r="I11" s="105">
        <v>75</v>
      </c>
      <c r="J11" s="102" t="s">
        <v>13</v>
      </c>
      <c r="K11" s="100">
        <v>160</v>
      </c>
      <c r="L11" s="105" t="s">
        <v>48</v>
      </c>
      <c r="M11" s="105" t="s">
        <v>48</v>
      </c>
      <c r="N11" s="187" t="s">
        <v>280</v>
      </c>
      <c r="O11" s="187" t="s">
        <v>277</v>
      </c>
      <c r="P11" s="100" t="s">
        <v>28</v>
      </c>
      <c r="Q11" s="100">
        <v>4000</v>
      </c>
      <c r="R11" s="188" t="s">
        <v>23</v>
      </c>
      <c r="S11" s="102" t="s">
        <v>49</v>
      </c>
      <c r="T11" s="189" t="s">
        <v>344</v>
      </c>
      <c r="U11" s="190" t="s">
        <v>345</v>
      </c>
      <c r="V11" s="100" t="s">
        <v>278</v>
      </c>
      <c r="W11" s="187">
        <v>2820</v>
      </c>
      <c r="X11" s="101" t="s">
        <v>47</v>
      </c>
      <c r="Y11" s="100" t="s">
        <v>29</v>
      </c>
      <c r="Z11" s="100" t="s">
        <v>115</v>
      </c>
      <c r="AA11" s="100" t="s">
        <v>311</v>
      </c>
      <c r="AB11" s="15" t="s">
        <v>57</v>
      </c>
      <c r="AC11" s="6" t="s">
        <v>42</v>
      </c>
      <c r="AD11" s="52"/>
    </row>
    <row r="12" spans="1:31" ht="21">
      <c r="A12" s="3" t="s">
        <v>317</v>
      </c>
      <c r="B12" s="102" t="s">
        <v>9</v>
      </c>
      <c r="C12" s="102" t="s">
        <v>10</v>
      </c>
      <c r="D12" s="102" t="s">
        <v>11</v>
      </c>
      <c r="E12" s="100" t="s">
        <v>112</v>
      </c>
      <c r="F12" s="187" t="s">
        <v>279</v>
      </c>
      <c r="G12" s="187">
        <v>95</v>
      </c>
      <c r="H12" s="105" t="s">
        <v>48</v>
      </c>
      <c r="I12" s="105">
        <v>75</v>
      </c>
      <c r="J12" s="102" t="s">
        <v>13</v>
      </c>
      <c r="K12" s="100">
        <v>160</v>
      </c>
      <c r="L12" s="105" t="s">
        <v>48</v>
      </c>
      <c r="M12" s="105" t="s">
        <v>48</v>
      </c>
      <c r="N12" s="187" t="s">
        <v>280</v>
      </c>
      <c r="O12" s="187" t="s">
        <v>277</v>
      </c>
      <c r="P12" s="100" t="s">
        <v>28</v>
      </c>
      <c r="Q12" s="100">
        <v>4990</v>
      </c>
      <c r="R12" s="188" t="s">
        <v>23</v>
      </c>
      <c r="S12" s="102" t="s">
        <v>49</v>
      </c>
      <c r="T12" s="189" t="s">
        <v>344</v>
      </c>
      <c r="U12" s="190" t="s">
        <v>345</v>
      </c>
      <c r="V12" s="100" t="s">
        <v>278</v>
      </c>
      <c r="W12" s="187">
        <v>2820</v>
      </c>
      <c r="X12" s="101" t="s">
        <v>47</v>
      </c>
      <c r="Y12" s="100" t="s">
        <v>29</v>
      </c>
      <c r="Z12" s="100" t="s">
        <v>115</v>
      </c>
      <c r="AA12" s="100" t="s">
        <v>318</v>
      </c>
      <c r="AB12" s="15" t="s">
        <v>58</v>
      </c>
      <c r="AC12" s="6" t="s">
        <v>42</v>
      </c>
      <c r="AD12" s="51"/>
    </row>
    <row r="13" spans="1:31" ht="37.5" customHeight="1">
      <c r="A13" s="2" t="s">
        <v>312</v>
      </c>
      <c r="B13" s="102" t="s">
        <v>9</v>
      </c>
      <c r="C13" s="102" t="s">
        <v>10</v>
      </c>
      <c r="D13" s="102" t="s">
        <v>11</v>
      </c>
      <c r="E13" s="100" t="s">
        <v>112</v>
      </c>
      <c r="F13" s="109" t="s">
        <v>95</v>
      </c>
      <c r="G13" s="109">
        <v>94.5</v>
      </c>
      <c r="H13" s="105" t="s">
        <v>48</v>
      </c>
      <c r="I13" s="105">
        <v>110</v>
      </c>
      <c r="J13" s="102" t="s">
        <v>13</v>
      </c>
      <c r="K13" s="102" t="s">
        <v>267</v>
      </c>
      <c r="L13" s="105" t="s">
        <v>48</v>
      </c>
      <c r="M13" s="105" t="s">
        <v>48</v>
      </c>
      <c r="N13" s="100" t="s">
        <v>45</v>
      </c>
      <c r="O13" s="100" t="s">
        <v>55</v>
      </c>
      <c r="P13" s="100" t="s">
        <v>28</v>
      </c>
      <c r="Q13" s="100">
        <v>5000</v>
      </c>
      <c r="R13" s="160" t="s">
        <v>266</v>
      </c>
      <c r="S13" s="102" t="s">
        <v>162</v>
      </c>
      <c r="T13" s="102" t="s">
        <v>264</v>
      </c>
      <c r="U13" s="110">
        <v>5</v>
      </c>
      <c r="V13" s="100" t="s">
        <v>258</v>
      </c>
      <c r="W13" s="100">
        <v>3920</v>
      </c>
      <c r="X13" s="101" t="s">
        <v>47</v>
      </c>
      <c r="Y13" s="100" t="s">
        <v>29</v>
      </c>
      <c r="Z13" s="100" t="s">
        <v>115</v>
      </c>
      <c r="AA13" s="100" t="s">
        <v>313</v>
      </c>
      <c r="AB13" s="15" t="s">
        <v>96</v>
      </c>
      <c r="AC13" s="6" t="s">
        <v>42</v>
      </c>
      <c r="AD13" s="52"/>
    </row>
    <row r="14" spans="1:31" ht="31.5">
      <c r="A14" s="3" t="s">
        <v>314</v>
      </c>
      <c r="B14" s="102" t="s">
        <v>9</v>
      </c>
      <c r="C14" s="102" t="s">
        <v>10</v>
      </c>
      <c r="D14" s="102" t="s">
        <v>11</v>
      </c>
      <c r="E14" s="100" t="s">
        <v>112</v>
      </c>
      <c r="F14" s="109" t="s">
        <v>51</v>
      </c>
      <c r="G14" s="109">
        <v>94.5</v>
      </c>
      <c r="H14" s="105" t="s">
        <v>48</v>
      </c>
      <c r="I14" s="105">
        <v>110</v>
      </c>
      <c r="J14" s="102" t="s">
        <v>13</v>
      </c>
      <c r="K14" s="102" t="s">
        <v>267</v>
      </c>
      <c r="L14" s="105" t="s">
        <v>48</v>
      </c>
      <c r="M14" s="105" t="s">
        <v>48</v>
      </c>
      <c r="N14" s="100" t="s">
        <v>45</v>
      </c>
      <c r="O14" s="100" t="s">
        <v>55</v>
      </c>
      <c r="P14" s="100" t="s">
        <v>28</v>
      </c>
      <c r="Q14" s="100">
        <v>6000</v>
      </c>
      <c r="R14" s="160" t="s">
        <v>266</v>
      </c>
      <c r="S14" s="102" t="s">
        <v>162</v>
      </c>
      <c r="T14" s="102" t="s">
        <v>264</v>
      </c>
      <c r="U14" s="110">
        <v>5</v>
      </c>
      <c r="V14" s="100" t="s">
        <v>258</v>
      </c>
      <c r="W14" s="100">
        <v>3920</v>
      </c>
      <c r="X14" s="101" t="s">
        <v>47</v>
      </c>
      <c r="Y14" s="100" t="s">
        <v>29</v>
      </c>
      <c r="Z14" s="100" t="s">
        <v>115</v>
      </c>
      <c r="AA14" s="100" t="s">
        <v>315</v>
      </c>
      <c r="AB14" s="15" t="s">
        <v>57</v>
      </c>
      <c r="AC14" s="6" t="s">
        <v>42</v>
      </c>
      <c r="AD14" s="52"/>
    </row>
    <row r="15" spans="1:31">
      <c r="A15" s="16"/>
      <c r="B15" s="10"/>
      <c r="C15" s="10"/>
      <c r="D15" s="10"/>
      <c r="E15" s="11"/>
      <c r="F15" s="12"/>
      <c r="H15" s="12"/>
      <c r="I15" s="10"/>
      <c r="J15" s="10"/>
      <c r="K15" s="10"/>
      <c r="L15" s="10"/>
      <c r="M15" s="11"/>
      <c r="N15" s="11"/>
      <c r="O15" s="11"/>
      <c r="P15" s="11"/>
      <c r="Q15" s="11"/>
      <c r="R15" s="13"/>
      <c r="S15" s="11"/>
      <c r="T15" s="11"/>
      <c r="U15" s="11"/>
      <c r="V15" s="10"/>
      <c r="W15" s="10"/>
      <c r="X15" s="10"/>
      <c r="Y15" s="11"/>
      <c r="Z15" s="11"/>
      <c r="AA15" s="12"/>
      <c r="AB15" s="11"/>
      <c r="AC15" s="15"/>
      <c r="AD15" s="6"/>
      <c r="AE15" s="4"/>
    </row>
    <row r="16" spans="1:31">
      <c r="A16" s="16"/>
      <c r="B16" s="10"/>
      <c r="C16" s="10"/>
      <c r="D16" s="10"/>
      <c r="E16" s="11"/>
      <c r="F16" s="12"/>
      <c r="H16" s="12"/>
      <c r="I16" s="10"/>
      <c r="J16" s="10"/>
      <c r="K16" s="10"/>
      <c r="L16" s="10"/>
      <c r="M16" s="11"/>
      <c r="N16" s="11"/>
      <c r="O16" s="11"/>
      <c r="P16" s="11"/>
      <c r="Q16" s="11"/>
      <c r="R16" s="13"/>
      <c r="S16" s="11"/>
      <c r="T16" s="11"/>
      <c r="U16" s="11"/>
      <c r="V16" s="10"/>
      <c r="W16" s="10"/>
      <c r="X16" s="10"/>
      <c r="Y16" s="11"/>
      <c r="Z16" s="11"/>
      <c r="AA16" s="12"/>
      <c r="AB16" s="11"/>
      <c r="AC16" s="15"/>
      <c r="AD16" s="6"/>
      <c r="AE16" s="4"/>
    </row>
    <row r="17" spans="1:37" ht="17.149999999999999" customHeight="1">
      <c r="B17" s="272" t="s">
        <v>97</v>
      </c>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row>
    <row r="18" spans="1:37">
      <c r="B18" s="99"/>
      <c r="C18" s="99"/>
      <c r="D18" s="99"/>
      <c r="E18" s="99"/>
      <c r="F18" s="99"/>
      <c r="G18" s="99"/>
      <c r="H18" s="267" t="s">
        <v>0</v>
      </c>
      <c r="I18" s="268"/>
      <c r="J18" s="268"/>
      <c r="K18" s="268"/>
      <c r="L18" s="268"/>
      <c r="M18" s="268"/>
      <c r="N18" s="268"/>
      <c r="O18" s="269"/>
      <c r="P18" s="267" t="s">
        <v>1</v>
      </c>
      <c r="Q18" s="268"/>
      <c r="R18" s="269"/>
      <c r="S18" s="266" t="s">
        <v>2</v>
      </c>
      <c r="T18" s="266"/>
      <c r="U18" s="266"/>
      <c r="V18" s="180"/>
      <c r="W18" s="180"/>
      <c r="X18" s="180"/>
      <c r="Y18" s="180"/>
      <c r="Z18" s="180"/>
      <c r="AA18" s="180"/>
    </row>
    <row r="19" spans="1:37" ht="44.15" customHeight="1">
      <c r="A19" s="5"/>
      <c r="B19" s="100" t="s">
        <v>18</v>
      </c>
      <c r="C19" s="100" t="s">
        <v>3</v>
      </c>
      <c r="D19" s="100" t="s">
        <v>4</v>
      </c>
      <c r="E19" s="101" t="s">
        <v>24</v>
      </c>
      <c r="F19" s="100" t="s">
        <v>30</v>
      </c>
      <c r="G19" s="101" t="s">
        <v>80</v>
      </c>
      <c r="H19" s="100" t="s">
        <v>81</v>
      </c>
      <c r="I19" s="101" t="s">
        <v>113</v>
      </c>
      <c r="J19" s="100" t="s">
        <v>19</v>
      </c>
      <c r="K19" s="100" t="s">
        <v>20</v>
      </c>
      <c r="L19" s="100" t="s">
        <v>83</v>
      </c>
      <c r="M19" s="100" t="s">
        <v>82</v>
      </c>
      <c r="N19" s="100" t="s">
        <v>21</v>
      </c>
      <c r="O19" s="100" t="s">
        <v>64</v>
      </c>
      <c r="P19" s="100" t="s">
        <v>5</v>
      </c>
      <c r="Q19" s="100" t="s">
        <v>22</v>
      </c>
      <c r="R19" s="158" t="s">
        <v>63</v>
      </c>
      <c r="S19" s="100" t="s">
        <v>61</v>
      </c>
      <c r="T19" s="100" t="s">
        <v>7</v>
      </c>
      <c r="U19" s="100" t="s">
        <v>26</v>
      </c>
      <c r="V19" s="100" t="s">
        <v>62</v>
      </c>
      <c r="W19" s="100" t="s">
        <v>25</v>
      </c>
      <c r="X19" s="101" t="s">
        <v>6</v>
      </c>
      <c r="Y19" s="100" t="s">
        <v>27</v>
      </c>
      <c r="Z19" s="101" t="s">
        <v>114</v>
      </c>
      <c r="AA19" s="100" t="s">
        <v>8</v>
      </c>
    </row>
    <row r="20" spans="1:37" ht="37" customHeight="1">
      <c r="A20" s="5" t="s">
        <v>85</v>
      </c>
      <c r="B20" s="102" t="s">
        <v>9</v>
      </c>
      <c r="C20" s="102" t="s">
        <v>10</v>
      </c>
      <c r="D20" s="102" t="s">
        <v>11</v>
      </c>
      <c r="E20" s="103" t="s">
        <v>48</v>
      </c>
      <c r="F20" s="104" t="s">
        <v>48</v>
      </c>
      <c r="G20" s="99"/>
      <c r="H20" s="105" t="s">
        <v>48</v>
      </c>
      <c r="I20" s="105"/>
      <c r="J20" s="102"/>
      <c r="K20" s="100"/>
      <c r="L20" s="105" t="s">
        <v>48</v>
      </c>
      <c r="M20" s="105" t="s">
        <v>48</v>
      </c>
      <c r="N20" s="104" t="s">
        <v>48</v>
      </c>
      <c r="O20" s="104" t="s">
        <v>48</v>
      </c>
      <c r="P20" s="100"/>
      <c r="Q20" s="104" t="s">
        <v>48</v>
      </c>
      <c r="R20" s="104" t="s">
        <v>48</v>
      </c>
      <c r="S20" s="104" t="s">
        <v>48</v>
      </c>
      <c r="T20" s="104" t="s">
        <v>48</v>
      </c>
      <c r="U20" s="104" t="s">
        <v>48</v>
      </c>
      <c r="V20" s="104" t="s">
        <v>48</v>
      </c>
      <c r="W20" s="104" t="s">
        <v>48</v>
      </c>
      <c r="X20" s="104"/>
      <c r="Y20" s="100" t="s">
        <v>29</v>
      </c>
      <c r="Z20" s="100" t="s">
        <v>115</v>
      </c>
      <c r="AA20" s="104" t="s">
        <v>48</v>
      </c>
      <c r="AB20" s="15" t="s">
        <v>56</v>
      </c>
      <c r="AC20" s="6" t="s">
        <v>59</v>
      </c>
      <c r="AF20" s="51"/>
      <c r="AG20" s="51"/>
      <c r="AH20" s="51"/>
      <c r="AI20" s="51"/>
      <c r="AJ20" s="51"/>
      <c r="AK20" s="51"/>
    </row>
    <row r="21" spans="1:37" ht="21">
      <c r="A21" s="2" t="s">
        <v>282</v>
      </c>
      <c r="B21" s="102" t="s">
        <v>9</v>
      </c>
      <c r="C21" s="102" t="s">
        <v>10</v>
      </c>
      <c r="D21" s="102" t="s">
        <v>11</v>
      </c>
      <c r="E21" s="100" t="s">
        <v>112</v>
      </c>
      <c r="F21" s="100" t="s">
        <v>12</v>
      </c>
      <c r="G21" s="100">
        <v>95.5</v>
      </c>
      <c r="H21" s="105" t="s">
        <v>48</v>
      </c>
      <c r="I21" s="105">
        <v>16.25</v>
      </c>
      <c r="J21" s="102" t="s">
        <v>13</v>
      </c>
      <c r="K21" s="100">
        <v>160</v>
      </c>
      <c r="L21" s="105" t="s">
        <v>48</v>
      </c>
      <c r="M21" s="105" t="s">
        <v>48</v>
      </c>
      <c r="N21" s="100" t="s">
        <v>14</v>
      </c>
      <c r="O21" s="100" t="s">
        <v>46</v>
      </c>
      <c r="P21" s="100" t="s">
        <v>28</v>
      </c>
      <c r="Q21" s="100">
        <v>750</v>
      </c>
      <c r="R21" s="106" t="s">
        <v>23</v>
      </c>
      <c r="S21" s="100" t="s">
        <v>16</v>
      </c>
      <c r="T21" s="100">
        <v>13</v>
      </c>
      <c r="U21" s="107">
        <v>1</v>
      </c>
      <c r="V21" s="100" t="s">
        <v>15</v>
      </c>
      <c r="W21" s="100">
        <v>820</v>
      </c>
      <c r="X21" s="101" t="s">
        <v>47</v>
      </c>
      <c r="Y21" s="100" t="s">
        <v>29</v>
      </c>
      <c r="Z21" s="100" t="s">
        <v>115</v>
      </c>
      <c r="AA21" s="100" t="s">
        <v>283</v>
      </c>
      <c r="AB21" s="15" t="s">
        <v>57</v>
      </c>
      <c r="AC21" s="6" t="s">
        <v>32</v>
      </c>
    </row>
    <row r="22" spans="1:37" ht="23.15" customHeight="1">
      <c r="A22" s="3" t="s">
        <v>284</v>
      </c>
      <c r="B22" s="102" t="s">
        <v>9</v>
      </c>
      <c r="C22" s="102" t="s">
        <v>10</v>
      </c>
      <c r="D22" s="102" t="s">
        <v>11</v>
      </c>
      <c r="E22" s="100" t="s">
        <v>112</v>
      </c>
      <c r="F22" s="100" t="s">
        <v>33</v>
      </c>
      <c r="G22" s="100">
        <v>96.8</v>
      </c>
      <c r="H22" s="105" t="s">
        <v>48</v>
      </c>
      <c r="I22" s="105">
        <v>14.25</v>
      </c>
      <c r="J22" s="102" t="s">
        <v>13</v>
      </c>
      <c r="K22" s="100">
        <v>160</v>
      </c>
      <c r="L22" s="105" t="s">
        <v>48</v>
      </c>
      <c r="M22" s="105" t="s">
        <v>48</v>
      </c>
      <c r="N22" s="100" t="s">
        <v>14</v>
      </c>
      <c r="O22" s="100" t="s">
        <v>46</v>
      </c>
      <c r="P22" s="100" t="s">
        <v>28</v>
      </c>
      <c r="Q22" s="100">
        <v>1000</v>
      </c>
      <c r="R22" s="106" t="s">
        <v>23</v>
      </c>
      <c r="S22" s="100" t="s">
        <v>16</v>
      </c>
      <c r="T22" s="100">
        <v>13</v>
      </c>
      <c r="U22" s="107">
        <v>1</v>
      </c>
      <c r="V22" s="100" t="s">
        <v>15</v>
      </c>
      <c r="W22" s="100">
        <v>820</v>
      </c>
      <c r="X22" s="101" t="s">
        <v>47</v>
      </c>
      <c r="Y22" s="100" t="s">
        <v>29</v>
      </c>
      <c r="Z22" s="100" t="s">
        <v>115</v>
      </c>
      <c r="AA22" s="100" t="s">
        <v>285</v>
      </c>
      <c r="AB22" s="15" t="s">
        <v>58</v>
      </c>
      <c r="AC22" s="6" t="s">
        <v>32</v>
      </c>
    </row>
    <row r="23" spans="1:37" ht="21">
      <c r="A23" s="2" t="s">
        <v>286</v>
      </c>
      <c r="B23" s="102" t="s">
        <v>9</v>
      </c>
      <c r="C23" s="102" t="s">
        <v>10</v>
      </c>
      <c r="D23" s="102" t="s">
        <v>11</v>
      </c>
      <c r="E23" s="100" t="s">
        <v>112</v>
      </c>
      <c r="F23" s="100" t="s">
        <v>34</v>
      </c>
      <c r="G23" s="100">
        <v>94.6</v>
      </c>
      <c r="H23" s="105" t="s">
        <v>48</v>
      </c>
      <c r="I23" s="105">
        <v>44</v>
      </c>
      <c r="J23" s="102" t="s">
        <v>13</v>
      </c>
      <c r="K23" s="100">
        <v>160</v>
      </c>
      <c r="L23" s="105" t="s">
        <v>48</v>
      </c>
      <c r="M23" s="105" t="s">
        <v>48</v>
      </c>
      <c r="N23" s="100" t="s">
        <v>35</v>
      </c>
      <c r="O23" s="100" t="s">
        <v>52</v>
      </c>
      <c r="P23" s="100" t="s">
        <v>28</v>
      </c>
      <c r="Q23" s="100">
        <v>1500</v>
      </c>
      <c r="R23" s="106" t="s">
        <v>23</v>
      </c>
      <c r="S23" s="100" t="s">
        <v>16</v>
      </c>
      <c r="T23" s="100">
        <v>16</v>
      </c>
      <c r="U23" s="107">
        <v>1.6</v>
      </c>
      <c r="V23" s="100" t="s">
        <v>36</v>
      </c>
      <c r="W23" s="100">
        <v>1654</v>
      </c>
      <c r="X23" s="101" t="s">
        <v>47</v>
      </c>
      <c r="Y23" s="100" t="s">
        <v>29</v>
      </c>
      <c r="Z23" s="100" t="s">
        <v>115</v>
      </c>
      <c r="AA23" s="100" t="s">
        <v>287</v>
      </c>
      <c r="AB23" s="15" t="s">
        <v>58</v>
      </c>
      <c r="AC23" s="6" t="s">
        <v>32</v>
      </c>
    </row>
    <row r="24" spans="1:37" ht="21">
      <c r="A24" s="3" t="s">
        <v>288</v>
      </c>
      <c r="B24" s="102" t="s">
        <v>9</v>
      </c>
      <c r="C24" s="102" t="s">
        <v>10</v>
      </c>
      <c r="D24" s="102" t="s">
        <v>11</v>
      </c>
      <c r="E24" s="100" t="s">
        <v>112</v>
      </c>
      <c r="F24" s="100" t="s">
        <v>37</v>
      </c>
      <c r="G24" s="100">
        <v>94.6</v>
      </c>
      <c r="H24" s="105" t="s">
        <v>48</v>
      </c>
      <c r="I24" s="105">
        <v>40</v>
      </c>
      <c r="J24" s="102" t="s">
        <v>13</v>
      </c>
      <c r="K24" s="100">
        <v>160</v>
      </c>
      <c r="L24" s="105" t="s">
        <v>48</v>
      </c>
      <c r="M24" s="105" t="s">
        <v>48</v>
      </c>
      <c r="N24" s="100" t="s">
        <v>38</v>
      </c>
      <c r="O24" s="100" t="s">
        <v>52</v>
      </c>
      <c r="P24" s="100" t="s">
        <v>28</v>
      </c>
      <c r="Q24" s="100">
        <v>2000</v>
      </c>
      <c r="R24" s="106" t="s">
        <v>23</v>
      </c>
      <c r="S24" s="100" t="s">
        <v>16</v>
      </c>
      <c r="T24" s="100">
        <v>16</v>
      </c>
      <c r="U24" s="107">
        <v>1.6</v>
      </c>
      <c r="V24" s="100" t="s">
        <v>39</v>
      </c>
      <c r="W24" s="100">
        <v>1654</v>
      </c>
      <c r="X24" s="101" t="s">
        <v>47</v>
      </c>
      <c r="Y24" s="100" t="s">
        <v>29</v>
      </c>
      <c r="Z24" s="100" t="s">
        <v>115</v>
      </c>
      <c r="AA24" s="100" t="s">
        <v>289</v>
      </c>
      <c r="AB24" s="15" t="s">
        <v>58</v>
      </c>
      <c r="AC24" s="6" t="s">
        <v>32</v>
      </c>
    </row>
    <row r="25" spans="1:37" ht="21">
      <c r="A25" s="2" t="s">
        <v>290</v>
      </c>
      <c r="B25" s="102" t="s">
        <v>9</v>
      </c>
      <c r="C25" s="102" t="s">
        <v>10</v>
      </c>
      <c r="D25" s="102" t="s">
        <v>11</v>
      </c>
      <c r="E25" s="100" t="s">
        <v>112</v>
      </c>
      <c r="F25" s="100" t="s">
        <v>40</v>
      </c>
      <c r="G25" s="100">
        <v>93.5</v>
      </c>
      <c r="H25" s="105" t="s">
        <v>48</v>
      </c>
      <c r="I25" s="105">
        <v>58</v>
      </c>
      <c r="J25" s="102" t="s">
        <v>13</v>
      </c>
      <c r="K25" s="100">
        <v>160</v>
      </c>
      <c r="L25" s="105" t="s">
        <v>48</v>
      </c>
      <c r="M25" s="105" t="s">
        <v>48</v>
      </c>
      <c r="N25" s="100" t="s">
        <v>38</v>
      </c>
      <c r="O25" s="100" t="s">
        <v>53</v>
      </c>
      <c r="P25" s="100" t="s">
        <v>28</v>
      </c>
      <c r="Q25" s="100">
        <v>2500</v>
      </c>
      <c r="R25" s="106" t="s">
        <v>23</v>
      </c>
      <c r="S25" s="102" t="s">
        <v>49</v>
      </c>
      <c r="T25" s="102" t="s">
        <v>50</v>
      </c>
      <c r="U25" s="108" t="s">
        <v>60</v>
      </c>
      <c r="V25" s="100" t="s">
        <v>41</v>
      </c>
      <c r="W25" s="100">
        <v>2580</v>
      </c>
      <c r="X25" s="101" t="s">
        <v>47</v>
      </c>
      <c r="Y25" s="100" t="s">
        <v>29</v>
      </c>
      <c r="Z25" s="100" t="s">
        <v>115</v>
      </c>
      <c r="AA25" s="100" t="s">
        <v>291</v>
      </c>
      <c r="AB25" s="15" t="s">
        <v>57</v>
      </c>
      <c r="AC25" s="6" t="s">
        <v>42</v>
      </c>
    </row>
    <row r="26" spans="1:37" ht="21">
      <c r="A26" s="3" t="s">
        <v>292</v>
      </c>
      <c r="B26" s="102" t="s">
        <v>9</v>
      </c>
      <c r="C26" s="102" t="s">
        <v>10</v>
      </c>
      <c r="D26" s="102" t="s">
        <v>11</v>
      </c>
      <c r="E26" s="100" t="s">
        <v>112</v>
      </c>
      <c r="F26" s="100" t="s">
        <v>43</v>
      </c>
      <c r="G26" s="100">
        <v>93.5</v>
      </c>
      <c r="H26" s="105" t="s">
        <v>48</v>
      </c>
      <c r="I26" s="105">
        <v>55</v>
      </c>
      <c r="J26" s="102" t="s">
        <v>13</v>
      </c>
      <c r="K26" s="100">
        <v>160</v>
      </c>
      <c r="L26" s="105" t="s">
        <v>48</v>
      </c>
      <c r="M26" s="105" t="s">
        <v>48</v>
      </c>
      <c r="N26" s="100" t="s">
        <v>44</v>
      </c>
      <c r="O26" s="100" t="s">
        <v>54</v>
      </c>
      <c r="P26" s="100" t="s">
        <v>28</v>
      </c>
      <c r="Q26" s="100">
        <v>3000</v>
      </c>
      <c r="R26" s="106" t="s">
        <v>23</v>
      </c>
      <c r="S26" s="102" t="s">
        <v>49</v>
      </c>
      <c r="T26" s="102" t="s">
        <v>50</v>
      </c>
      <c r="U26" s="108" t="s">
        <v>60</v>
      </c>
      <c r="V26" s="100" t="s">
        <v>41</v>
      </c>
      <c r="W26" s="100">
        <v>2580</v>
      </c>
      <c r="X26" s="101" t="s">
        <v>47</v>
      </c>
      <c r="Y26" s="100" t="s">
        <v>29</v>
      </c>
      <c r="Z26" s="100" t="s">
        <v>115</v>
      </c>
      <c r="AA26" s="100" t="s">
        <v>293</v>
      </c>
      <c r="AB26" s="15" t="s">
        <v>57</v>
      </c>
      <c r="AC26" s="6" t="s">
        <v>42</v>
      </c>
    </row>
    <row r="27" spans="1:37" ht="37.5" customHeight="1">
      <c r="A27" s="2" t="s">
        <v>320</v>
      </c>
      <c r="B27" s="102" t="s">
        <v>9</v>
      </c>
      <c r="C27" s="102" t="s">
        <v>10</v>
      </c>
      <c r="D27" s="102" t="s">
        <v>11</v>
      </c>
      <c r="E27" s="100" t="s">
        <v>112</v>
      </c>
      <c r="F27" s="187" t="s">
        <v>276</v>
      </c>
      <c r="G27" s="187">
        <v>95</v>
      </c>
      <c r="H27" s="105" t="s">
        <v>48</v>
      </c>
      <c r="I27" s="105">
        <v>75</v>
      </c>
      <c r="J27" s="102" t="s">
        <v>13</v>
      </c>
      <c r="K27" s="100">
        <v>160</v>
      </c>
      <c r="L27" s="105" t="s">
        <v>48</v>
      </c>
      <c r="M27" s="105" t="s">
        <v>48</v>
      </c>
      <c r="N27" s="187" t="s">
        <v>280</v>
      </c>
      <c r="O27" s="187" t="s">
        <v>277</v>
      </c>
      <c r="P27" s="100" t="s">
        <v>28</v>
      </c>
      <c r="Q27" s="100">
        <v>4000</v>
      </c>
      <c r="R27" s="188" t="s">
        <v>23</v>
      </c>
      <c r="S27" s="102" t="s">
        <v>49</v>
      </c>
      <c r="T27" s="189" t="s">
        <v>344</v>
      </c>
      <c r="U27" s="190" t="s">
        <v>345</v>
      </c>
      <c r="V27" s="100" t="s">
        <v>278</v>
      </c>
      <c r="W27" s="187">
        <v>2820</v>
      </c>
      <c r="X27" s="101" t="s">
        <v>47</v>
      </c>
      <c r="Y27" s="100" t="s">
        <v>29</v>
      </c>
      <c r="Z27" s="100" t="s">
        <v>115</v>
      </c>
      <c r="AA27" s="100" t="s">
        <v>294</v>
      </c>
      <c r="AB27" s="15" t="s">
        <v>57</v>
      </c>
      <c r="AC27" s="6" t="s">
        <v>42</v>
      </c>
      <c r="AD27" s="52"/>
    </row>
    <row r="28" spans="1:37" ht="21">
      <c r="A28" s="3" t="s">
        <v>321</v>
      </c>
      <c r="B28" s="102" t="s">
        <v>9</v>
      </c>
      <c r="C28" s="102" t="s">
        <v>10</v>
      </c>
      <c r="D28" s="102" t="s">
        <v>11</v>
      </c>
      <c r="E28" s="100" t="s">
        <v>112</v>
      </c>
      <c r="F28" s="187" t="s">
        <v>279</v>
      </c>
      <c r="G28" s="187">
        <v>95</v>
      </c>
      <c r="H28" s="105" t="s">
        <v>48</v>
      </c>
      <c r="I28" s="105">
        <v>75</v>
      </c>
      <c r="J28" s="102" t="s">
        <v>13</v>
      </c>
      <c r="K28" s="100">
        <v>160</v>
      </c>
      <c r="L28" s="105" t="s">
        <v>48</v>
      </c>
      <c r="M28" s="105" t="s">
        <v>48</v>
      </c>
      <c r="N28" s="187" t="s">
        <v>280</v>
      </c>
      <c r="O28" s="187" t="s">
        <v>277</v>
      </c>
      <c r="P28" s="100" t="s">
        <v>28</v>
      </c>
      <c r="Q28" s="100">
        <v>4990</v>
      </c>
      <c r="R28" s="188" t="s">
        <v>23</v>
      </c>
      <c r="S28" s="102" t="s">
        <v>49</v>
      </c>
      <c r="T28" s="189" t="s">
        <v>344</v>
      </c>
      <c r="U28" s="190" t="s">
        <v>345</v>
      </c>
      <c r="V28" s="100" t="s">
        <v>278</v>
      </c>
      <c r="W28" s="187">
        <v>2820</v>
      </c>
      <c r="X28" s="101" t="s">
        <v>47</v>
      </c>
      <c r="Y28" s="100" t="s">
        <v>29</v>
      </c>
      <c r="Z28" s="100" t="s">
        <v>115</v>
      </c>
      <c r="AA28" s="100" t="s">
        <v>319</v>
      </c>
      <c r="AB28" s="15" t="s">
        <v>58</v>
      </c>
      <c r="AC28" s="6" t="s">
        <v>42</v>
      </c>
      <c r="AD28" s="51"/>
    </row>
    <row r="29" spans="1:37" ht="39" customHeight="1">
      <c r="A29" s="2" t="s">
        <v>316</v>
      </c>
      <c r="B29" s="102" t="s">
        <v>9</v>
      </c>
      <c r="C29" s="102" t="s">
        <v>10</v>
      </c>
      <c r="D29" s="102" t="s">
        <v>11</v>
      </c>
      <c r="E29" s="100" t="s">
        <v>112</v>
      </c>
      <c r="F29" s="109" t="s">
        <v>95</v>
      </c>
      <c r="G29" s="109">
        <v>94.5</v>
      </c>
      <c r="H29" s="105" t="s">
        <v>48</v>
      </c>
      <c r="I29" s="105">
        <v>110</v>
      </c>
      <c r="J29" s="102" t="s">
        <v>13</v>
      </c>
      <c r="K29" s="102" t="s">
        <v>267</v>
      </c>
      <c r="L29" s="105" t="s">
        <v>48</v>
      </c>
      <c r="M29" s="105" t="s">
        <v>48</v>
      </c>
      <c r="N29" s="100" t="s">
        <v>45</v>
      </c>
      <c r="O29" s="100" t="s">
        <v>55</v>
      </c>
      <c r="P29" s="100" t="s">
        <v>28</v>
      </c>
      <c r="Q29" s="100">
        <v>5000</v>
      </c>
      <c r="R29" s="160" t="s">
        <v>266</v>
      </c>
      <c r="S29" s="102" t="s">
        <v>162</v>
      </c>
      <c r="T29" s="102" t="s">
        <v>264</v>
      </c>
      <c r="U29" s="110">
        <v>5</v>
      </c>
      <c r="V29" s="100" t="s">
        <v>258</v>
      </c>
      <c r="W29" s="100">
        <v>3920</v>
      </c>
      <c r="X29" s="101" t="s">
        <v>47</v>
      </c>
      <c r="Y29" s="100" t="s">
        <v>29</v>
      </c>
      <c r="Z29" s="100" t="s">
        <v>115</v>
      </c>
      <c r="AA29" s="100" t="s">
        <v>295</v>
      </c>
      <c r="AB29" s="15" t="s">
        <v>96</v>
      </c>
      <c r="AC29" s="6" t="s">
        <v>42</v>
      </c>
    </row>
    <row r="30" spans="1:37" ht="31.5">
      <c r="A30" s="3" t="s">
        <v>296</v>
      </c>
      <c r="B30" s="102" t="s">
        <v>9</v>
      </c>
      <c r="C30" s="102" t="s">
        <v>10</v>
      </c>
      <c r="D30" s="102" t="s">
        <v>11</v>
      </c>
      <c r="E30" s="100" t="s">
        <v>112</v>
      </c>
      <c r="F30" s="109" t="s">
        <v>51</v>
      </c>
      <c r="G30" s="109">
        <v>94.5</v>
      </c>
      <c r="H30" s="105" t="s">
        <v>48</v>
      </c>
      <c r="I30" s="105">
        <v>110</v>
      </c>
      <c r="J30" s="102" t="s">
        <v>13</v>
      </c>
      <c r="K30" s="102" t="s">
        <v>267</v>
      </c>
      <c r="L30" s="105" t="s">
        <v>48</v>
      </c>
      <c r="M30" s="105" t="s">
        <v>48</v>
      </c>
      <c r="N30" s="100" t="s">
        <v>45</v>
      </c>
      <c r="O30" s="100" t="s">
        <v>55</v>
      </c>
      <c r="P30" s="100" t="s">
        <v>28</v>
      </c>
      <c r="Q30" s="100">
        <v>6000</v>
      </c>
      <c r="R30" s="160" t="s">
        <v>266</v>
      </c>
      <c r="S30" s="102" t="s">
        <v>162</v>
      </c>
      <c r="T30" s="102" t="s">
        <v>264</v>
      </c>
      <c r="U30" s="110">
        <v>5</v>
      </c>
      <c r="V30" s="100" t="s">
        <v>258</v>
      </c>
      <c r="W30" s="100">
        <v>3920</v>
      </c>
      <c r="X30" s="101" t="s">
        <v>47</v>
      </c>
      <c r="Y30" s="100" t="s">
        <v>29</v>
      </c>
      <c r="Z30" s="100" t="s">
        <v>115</v>
      </c>
      <c r="AA30" s="100" t="s">
        <v>297</v>
      </c>
      <c r="AB30" s="15" t="s">
        <v>57</v>
      </c>
      <c r="AC30" s="6" t="s">
        <v>42</v>
      </c>
    </row>
    <row r="31" spans="1:37">
      <c r="A31" s="16"/>
      <c r="B31" s="10"/>
      <c r="C31" s="10"/>
      <c r="D31" s="10"/>
      <c r="E31" s="11"/>
      <c r="F31" s="11"/>
      <c r="G31" s="12"/>
      <c r="H31" s="12"/>
      <c r="I31" s="10"/>
      <c r="J31" s="10"/>
      <c r="K31" s="10"/>
      <c r="L31" s="10"/>
      <c r="M31" s="11"/>
      <c r="N31" s="11"/>
      <c r="O31" s="11"/>
      <c r="P31" s="11"/>
      <c r="Q31" s="11"/>
      <c r="R31" s="13"/>
      <c r="S31" s="11"/>
      <c r="T31" s="11"/>
      <c r="U31" s="11"/>
      <c r="V31" s="10"/>
      <c r="W31" s="10"/>
      <c r="X31" s="10"/>
      <c r="Y31" s="14"/>
      <c r="Z31" s="12"/>
      <c r="AA31" s="11"/>
      <c r="AB31" s="11"/>
      <c r="AC31" s="15"/>
      <c r="AD31" s="6"/>
      <c r="AE31" s="4"/>
    </row>
    <row r="32" spans="1:37" ht="17.149999999999999" customHeight="1">
      <c r="A32" s="99"/>
      <c r="B32" s="270" t="s">
        <v>97</v>
      </c>
      <c r="C32" s="271"/>
      <c r="D32" s="271"/>
      <c r="E32" s="271"/>
      <c r="F32" s="271"/>
      <c r="G32" s="271"/>
      <c r="H32" s="271"/>
      <c r="I32" s="271"/>
      <c r="J32" s="271"/>
      <c r="K32" s="271"/>
      <c r="L32" s="271"/>
      <c r="M32" s="271"/>
      <c r="N32" s="271"/>
      <c r="O32" s="271"/>
      <c r="P32" s="271"/>
      <c r="Q32" s="271"/>
      <c r="R32" s="271"/>
      <c r="S32" s="271"/>
      <c r="T32" s="271"/>
      <c r="U32" s="271"/>
      <c r="V32" s="271"/>
      <c r="W32" s="271"/>
      <c r="X32" s="271"/>
      <c r="Y32" s="271"/>
      <c r="Z32" s="271"/>
      <c r="AA32" s="181"/>
    </row>
    <row r="33" spans="1:38" ht="26.25" customHeight="1">
      <c r="A33" s="99"/>
      <c r="B33" s="99"/>
      <c r="C33" s="99"/>
      <c r="D33" s="99"/>
      <c r="E33" s="99"/>
      <c r="F33" s="99"/>
      <c r="G33" s="99"/>
      <c r="H33" s="99"/>
      <c r="I33" s="267" t="s">
        <v>0</v>
      </c>
      <c r="J33" s="268"/>
      <c r="K33" s="268"/>
      <c r="L33" s="268"/>
      <c r="M33" s="268"/>
      <c r="N33" s="268"/>
      <c r="O33" s="268"/>
      <c r="P33" s="269"/>
      <c r="Q33" s="267" t="s">
        <v>1</v>
      </c>
      <c r="R33" s="268"/>
      <c r="S33" s="269"/>
      <c r="T33" s="267" t="s">
        <v>2</v>
      </c>
      <c r="U33" s="269"/>
      <c r="V33" s="180"/>
      <c r="W33" s="180"/>
      <c r="X33" s="180"/>
      <c r="Y33" s="180"/>
      <c r="Z33" s="180"/>
    </row>
    <row r="34" spans="1:38" ht="54.75" customHeight="1">
      <c r="A34" s="99"/>
      <c r="B34" s="100" t="s">
        <v>18</v>
      </c>
      <c r="C34" s="100" t="s">
        <v>3</v>
      </c>
      <c r="D34" s="100" t="s">
        <v>4</v>
      </c>
      <c r="E34" s="101" t="s">
        <v>24</v>
      </c>
      <c r="F34" s="100" t="s">
        <v>66</v>
      </c>
      <c r="G34" s="100" t="s">
        <v>67</v>
      </c>
      <c r="H34" s="101" t="s">
        <v>80</v>
      </c>
      <c r="I34" s="100" t="s">
        <v>81</v>
      </c>
      <c r="J34" s="101" t="s">
        <v>113</v>
      </c>
      <c r="K34" s="100" t="s">
        <v>19</v>
      </c>
      <c r="L34" s="100" t="s">
        <v>20</v>
      </c>
      <c r="M34" s="100" t="s">
        <v>83</v>
      </c>
      <c r="N34" s="100" t="s">
        <v>82</v>
      </c>
      <c r="O34" s="100" t="s">
        <v>21</v>
      </c>
      <c r="P34" s="100" t="s">
        <v>72</v>
      </c>
      <c r="Q34" s="100" t="s">
        <v>5</v>
      </c>
      <c r="R34" s="100" t="s">
        <v>22</v>
      </c>
      <c r="S34" s="100" t="s">
        <v>63</v>
      </c>
      <c r="T34" s="100" t="s">
        <v>61</v>
      </c>
      <c r="U34" s="100" t="s">
        <v>7</v>
      </c>
      <c r="V34" s="100" t="s">
        <v>62</v>
      </c>
      <c r="W34" s="100" t="s">
        <v>25</v>
      </c>
      <c r="X34" s="101" t="s">
        <v>6</v>
      </c>
      <c r="Y34" s="101" t="s">
        <v>114</v>
      </c>
      <c r="Z34" s="100" t="s">
        <v>8</v>
      </c>
      <c r="AA34" s="11"/>
      <c r="AB34" s="11"/>
    </row>
    <row r="35" spans="1:38" ht="22">
      <c r="A35" s="112" t="s">
        <v>85</v>
      </c>
      <c r="B35" s="102" t="s">
        <v>9</v>
      </c>
      <c r="C35" s="102" t="s">
        <v>10</v>
      </c>
      <c r="D35" s="102" t="s">
        <v>11</v>
      </c>
      <c r="E35" s="100" t="s">
        <v>78</v>
      </c>
      <c r="F35" s="103" t="s">
        <v>48</v>
      </c>
      <c r="G35" s="103" t="s">
        <v>48</v>
      </c>
      <c r="H35" s="103" t="s">
        <v>48</v>
      </c>
      <c r="I35" s="105" t="s">
        <v>48</v>
      </c>
      <c r="J35" s="103" t="s">
        <v>48</v>
      </c>
      <c r="K35" s="100">
        <v>50</v>
      </c>
      <c r="L35" s="100">
        <v>160</v>
      </c>
      <c r="M35" s="105" t="s">
        <v>48</v>
      </c>
      <c r="N35" s="105" t="s">
        <v>48</v>
      </c>
      <c r="O35" s="103" t="s">
        <v>48</v>
      </c>
      <c r="P35" s="103" t="s">
        <v>48</v>
      </c>
      <c r="Q35" s="100" t="s">
        <v>28</v>
      </c>
      <c r="R35" s="103" t="s">
        <v>48</v>
      </c>
      <c r="S35" s="111" t="s">
        <v>73</v>
      </c>
      <c r="T35" s="100" t="s">
        <v>16</v>
      </c>
      <c r="U35" s="103" t="s">
        <v>48</v>
      </c>
      <c r="V35" s="103" t="s">
        <v>48</v>
      </c>
      <c r="W35" s="103" t="s">
        <v>48</v>
      </c>
      <c r="X35" s="101" t="s">
        <v>121</v>
      </c>
      <c r="Y35" s="100" t="s">
        <v>115</v>
      </c>
      <c r="Z35" s="103" t="s">
        <v>48</v>
      </c>
      <c r="AB35" s="15" t="s">
        <v>56</v>
      </c>
      <c r="AE35" s="51" t="s">
        <v>177</v>
      </c>
      <c r="AF35" s="51" t="s">
        <v>178</v>
      </c>
      <c r="AG35" s="51" t="s">
        <v>254</v>
      </c>
      <c r="AH35" s="133" t="s">
        <v>180</v>
      </c>
      <c r="AI35" s="51" t="s">
        <v>181</v>
      </c>
      <c r="AJ35" s="51" t="s">
        <v>255</v>
      </c>
      <c r="AK35" s="133" t="s">
        <v>183</v>
      </c>
      <c r="AL35" s="133" t="s">
        <v>256</v>
      </c>
    </row>
    <row r="36" spans="1:38" ht="21">
      <c r="A36" s="113" t="s">
        <v>69</v>
      </c>
      <c r="B36" s="102" t="s">
        <v>9</v>
      </c>
      <c r="C36" s="102" t="s">
        <v>10</v>
      </c>
      <c r="D36" s="102" t="s">
        <v>11</v>
      </c>
      <c r="E36" s="100" t="s">
        <v>78</v>
      </c>
      <c r="F36" s="100" t="str">
        <f t="shared" ref="F36:F39" si="0">CONCATENATE(AK36," / ",AL36)</f>
        <v>349 / 387</v>
      </c>
      <c r="G36" s="109">
        <v>2</v>
      </c>
      <c r="H36" s="109">
        <v>93.8</v>
      </c>
      <c r="I36" s="105" t="s">
        <v>48</v>
      </c>
      <c r="J36" s="109">
        <v>4</v>
      </c>
      <c r="K36" s="100">
        <v>50</v>
      </c>
      <c r="L36" s="100">
        <v>160</v>
      </c>
      <c r="M36" s="105" t="s">
        <v>48</v>
      </c>
      <c r="N36" s="105" t="s">
        <v>48</v>
      </c>
      <c r="O36" s="100" t="s">
        <v>247</v>
      </c>
      <c r="P36" s="100">
        <v>34</v>
      </c>
      <c r="Q36" s="100" t="s">
        <v>28</v>
      </c>
      <c r="R36" s="100">
        <v>399</v>
      </c>
      <c r="S36" s="111" t="s">
        <v>73</v>
      </c>
      <c r="T36" s="100" t="s">
        <v>16</v>
      </c>
      <c r="U36" s="100">
        <v>1.8</v>
      </c>
      <c r="V36" s="100" t="s">
        <v>76</v>
      </c>
      <c r="W36" s="100">
        <v>300</v>
      </c>
      <c r="X36" s="101" t="s">
        <v>121</v>
      </c>
      <c r="Y36" s="100" t="s">
        <v>115</v>
      </c>
      <c r="Z36" s="100" t="s">
        <v>69</v>
      </c>
      <c r="AB36" s="15" t="s">
        <v>74</v>
      </c>
      <c r="AE36">
        <v>399</v>
      </c>
      <c r="AF36">
        <v>0.874</v>
      </c>
      <c r="AG36">
        <v>0.97099999999999997</v>
      </c>
      <c r="AH36">
        <v>33471.4</v>
      </c>
      <c r="AI36" s="134">
        <f>ROUND((AE36*1000*AF36/AH36),0)</f>
        <v>10</v>
      </c>
      <c r="AJ36" s="134">
        <f>ROUND((AE36*1000*AG36/AH36),0)</f>
        <v>12</v>
      </c>
      <c r="AK36" s="134">
        <f>ROUND(AE36*AF36,0)</f>
        <v>349</v>
      </c>
      <c r="AL36" s="134">
        <f>ROUND(AE36*AG36,0)</f>
        <v>387</v>
      </c>
    </row>
    <row r="37" spans="1:38" ht="21">
      <c r="A37" s="114" t="s">
        <v>68</v>
      </c>
      <c r="B37" s="102" t="s">
        <v>9</v>
      </c>
      <c r="C37" s="102" t="s">
        <v>10</v>
      </c>
      <c r="D37" s="102" t="s">
        <v>11</v>
      </c>
      <c r="E37" s="100" t="s">
        <v>78</v>
      </c>
      <c r="F37" s="100" t="str">
        <f t="shared" si="0"/>
        <v>437 / 486</v>
      </c>
      <c r="G37" s="109">
        <v>2</v>
      </c>
      <c r="H37" s="109">
        <v>93.8</v>
      </c>
      <c r="I37" s="105" t="s">
        <v>48</v>
      </c>
      <c r="J37" s="109">
        <v>4</v>
      </c>
      <c r="K37" s="100">
        <v>50</v>
      </c>
      <c r="L37" s="100">
        <v>160</v>
      </c>
      <c r="M37" s="105" t="s">
        <v>48</v>
      </c>
      <c r="N37" s="105" t="s">
        <v>48</v>
      </c>
      <c r="O37" s="100" t="s">
        <v>248</v>
      </c>
      <c r="P37" s="100">
        <v>40</v>
      </c>
      <c r="Q37" s="100" t="s">
        <v>28</v>
      </c>
      <c r="R37" s="100">
        <v>500</v>
      </c>
      <c r="S37" s="111" t="s">
        <v>73</v>
      </c>
      <c r="T37" s="100" t="s">
        <v>16</v>
      </c>
      <c r="U37" s="100">
        <v>2.5</v>
      </c>
      <c r="V37" s="100" t="s">
        <v>76</v>
      </c>
      <c r="W37" s="100">
        <v>310</v>
      </c>
      <c r="X37" s="101" t="s">
        <v>121</v>
      </c>
      <c r="Y37" s="100" t="s">
        <v>115</v>
      </c>
      <c r="Z37" s="100" t="s">
        <v>68</v>
      </c>
      <c r="AB37" s="15" t="s">
        <v>75</v>
      </c>
      <c r="AE37">
        <v>500</v>
      </c>
      <c r="AF37">
        <v>0.874</v>
      </c>
      <c r="AG37">
        <v>0.97099999999999997</v>
      </c>
      <c r="AH37">
        <v>33471.4</v>
      </c>
      <c r="AI37" s="134">
        <f t="shared" ref="AI37:AI39" si="1">ROUND((AE37*1000*AF37/AH37),0)</f>
        <v>13</v>
      </c>
      <c r="AJ37" s="134">
        <f t="shared" ref="AJ37:AJ39" si="2">ROUND((AE37*1000*AG37/AH37),0)</f>
        <v>15</v>
      </c>
      <c r="AK37" s="134">
        <f t="shared" ref="AK37:AK39" si="3">ROUND(AE37*AF37,0)</f>
        <v>437</v>
      </c>
      <c r="AL37" s="134">
        <f t="shared" ref="AL37:AL39" si="4">ROUND(AE37*AG37,0)</f>
        <v>486</v>
      </c>
    </row>
    <row r="38" spans="1:38" ht="21">
      <c r="A38" s="113" t="s">
        <v>70</v>
      </c>
      <c r="B38" s="102" t="s">
        <v>9</v>
      </c>
      <c r="C38" s="102" t="s">
        <v>10</v>
      </c>
      <c r="D38" s="102" t="s">
        <v>11</v>
      </c>
      <c r="E38" s="100" t="s">
        <v>78</v>
      </c>
      <c r="F38" s="100" t="str">
        <f t="shared" si="0"/>
        <v>656 / 728</v>
      </c>
      <c r="G38" s="109">
        <v>3</v>
      </c>
      <c r="H38" s="109">
        <v>93.8</v>
      </c>
      <c r="I38" s="105" t="s">
        <v>48</v>
      </c>
      <c r="J38" s="109">
        <v>7</v>
      </c>
      <c r="K38" s="100">
        <v>50</v>
      </c>
      <c r="L38" s="100">
        <v>160</v>
      </c>
      <c r="M38" s="105" t="s">
        <v>48</v>
      </c>
      <c r="N38" s="105" t="s">
        <v>48</v>
      </c>
      <c r="O38" s="100" t="s">
        <v>249</v>
      </c>
      <c r="P38" s="100">
        <v>50</v>
      </c>
      <c r="Q38" s="100" t="s">
        <v>28</v>
      </c>
      <c r="R38" s="100">
        <v>750</v>
      </c>
      <c r="S38" s="111" t="s">
        <v>73</v>
      </c>
      <c r="T38" s="100" t="s">
        <v>16</v>
      </c>
      <c r="U38" s="100">
        <v>3.6</v>
      </c>
      <c r="V38" s="100" t="s">
        <v>77</v>
      </c>
      <c r="W38" s="100">
        <v>530</v>
      </c>
      <c r="X38" s="101" t="s">
        <v>121</v>
      </c>
      <c r="Y38" s="100" t="s">
        <v>115</v>
      </c>
      <c r="Z38" s="100" t="s">
        <v>70</v>
      </c>
      <c r="AB38" s="15" t="s">
        <v>57</v>
      </c>
      <c r="AE38">
        <v>750</v>
      </c>
      <c r="AF38">
        <v>0.874</v>
      </c>
      <c r="AG38">
        <v>0.97099999999999997</v>
      </c>
      <c r="AH38">
        <v>33471.4</v>
      </c>
      <c r="AI38" s="134">
        <f t="shared" si="1"/>
        <v>20</v>
      </c>
      <c r="AJ38" s="134">
        <f t="shared" si="2"/>
        <v>22</v>
      </c>
      <c r="AK38" s="134">
        <f t="shared" si="3"/>
        <v>656</v>
      </c>
      <c r="AL38" s="134">
        <f t="shared" si="4"/>
        <v>728</v>
      </c>
    </row>
    <row r="39" spans="1:38" ht="21">
      <c r="A39" s="114" t="s">
        <v>71</v>
      </c>
      <c r="B39" s="102" t="s">
        <v>9</v>
      </c>
      <c r="C39" s="102" t="s">
        <v>10</v>
      </c>
      <c r="D39" s="102" t="s">
        <v>11</v>
      </c>
      <c r="E39" s="100" t="s">
        <v>78</v>
      </c>
      <c r="F39" s="100" t="str">
        <f t="shared" si="0"/>
        <v>874 / 971</v>
      </c>
      <c r="G39" s="109">
        <v>4</v>
      </c>
      <c r="H39" s="109">
        <v>93.8</v>
      </c>
      <c r="I39" s="105" t="s">
        <v>48</v>
      </c>
      <c r="J39" s="109">
        <v>9</v>
      </c>
      <c r="K39" s="100">
        <v>50</v>
      </c>
      <c r="L39" s="100">
        <v>160</v>
      </c>
      <c r="M39" s="105" t="s">
        <v>48</v>
      </c>
      <c r="N39" s="105" t="s">
        <v>48</v>
      </c>
      <c r="O39" s="100" t="s">
        <v>250</v>
      </c>
      <c r="P39" s="100">
        <v>47</v>
      </c>
      <c r="Q39" s="100" t="s">
        <v>28</v>
      </c>
      <c r="R39" s="100">
        <v>1000</v>
      </c>
      <c r="S39" s="111" t="s">
        <v>73</v>
      </c>
      <c r="T39" s="100" t="s">
        <v>16</v>
      </c>
      <c r="U39" s="100">
        <v>4.9000000000000004</v>
      </c>
      <c r="V39" s="100" t="s">
        <v>77</v>
      </c>
      <c r="W39" s="100">
        <v>615</v>
      </c>
      <c r="X39" s="101" t="s">
        <v>121</v>
      </c>
      <c r="Y39" s="100" t="s">
        <v>115</v>
      </c>
      <c r="Z39" s="100" t="s">
        <v>71</v>
      </c>
      <c r="AB39" s="15" t="s">
        <v>58</v>
      </c>
      <c r="AE39">
        <v>1000</v>
      </c>
      <c r="AF39">
        <v>0.874</v>
      </c>
      <c r="AG39">
        <v>0.97099999999999997</v>
      </c>
      <c r="AH39">
        <v>33471.4</v>
      </c>
      <c r="AI39" s="134">
        <f t="shared" si="1"/>
        <v>26</v>
      </c>
      <c r="AJ39" s="134">
        <f t="shared" si="2"/>
        <v>29</v>
      </c>
      <c r="AK39" s="134">
        <f t="shared" si="3"/>
        <v>874</v>
      </c>
      <c r="AL39" s="134">
        <f t="shared" si="4"/>
        <v>971</v>
      </c>
    </row>
    <row r="43" spans="1:38">
      <c r="A43" s="179"/>
      <c r="B43" s="179"/>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row>
    <row r="44" spans="1:38" ht="17.149999999999999" customHeight="1">
      <c r="B44" s="266" t="s">
        <v>97</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row>
    <row r="45" spans="1:38">
      <c r="B45" s="99"/>
      <c r="C45" s="99"/>
      <c r="D45" s="99"/>
      <c r="E45" s="99"/>
      <c r="F45" s="99"/>
      <c r="G45" s="99"/>
      <c r="H45" s="267" t="s">
        <v>0</v>
      </c>
      <c r="I45" s="268"/>
      <c r="J45" s="268"/>
      <c r="K45" s="268"/>
      <c r="L45" s="268"/>
      <c r="M45" s="268"/>
      <c r="N45" s="268"/>
      <c r="O45" s="269"/>
      <c r="P45" s="267" t="s">
        <v>1</v>
      </c>
      <c r="Q45" s="268"/>
      <c r="R45" s="269"/>
      <c r="S45" s="266" t="s">
        <v>2</v>
      </c>
      <c r="T45" s="266"/>
      <c r="U45" s="266"/>
      <c r="V45" s="180"/>
      <c r="W45" s="180"/>
      <c r="X45" s="180"/>
      <c r="Y45" s="180"/>
      <c r="Z45" s="180"/>
      <c r="AA45" s="180"/>
      <c r="AB45" s="1"/>
    </row>
    <row r="46" spans="1:38" ht="44.15" customHeight="1">
      <c r="A46" s="5"/>
      <c r="B46" s="100" t="s">
        <v>18</v>
      </c>
      <c r="C46" s="100" t="s">
        <v>3</v>
      </c>
      <c r="D46" s="100" t="s">
        <v>4</v>
      </c>
      <c r="E46" s="101" t="s">
        <v>24</v>
      </c>
      <c r="F46" s="100" t="s">
        <v>144</v>
      </c>
      <c r="G46" s="101" t="s">
        <v>145</v>
      </c>
      <c r="H46" s="100" t="s">
        <v>81</v>
      </c>
      <c r="I46" s="136" t="s">
        <v>113</v>
      </c>
      <c r="J46" s="100" t="s">
        <v>19</v>
      </c>
      <c r="K46" s="100" t="s">
        <v>20</v>
      </c>
      <c r="L46" s="100" t="s">
        <v>83</v>
      </c>
      <c r="M46" s="100" t="s">
        <v>82</v>
      </c>
      <c r="N46" s="100" t="s">
        <v>21</v>
      </c>
      <c r="O46" s="100" t="s">
        <v>64</v>
      </c>
      <c r="P46" s="100" t="s">
        <v>5</v>
      </c>
      <c r="Q46" s="100" t="s">
        <v>22</v>
      </c>
      <c r="R46" s="100" t="s">
        <v>63</v>
      </c>
      <c r="S46" s="109" t="s">
        <v>61</v>
      </c>
      <c r="T46" s="109" t="s">
        <v>7</v>
      </c>
      <c r="U46" s="109" t="s">
        <v>166</v>
      </c>
      <c r="V46" s="100" t="s">
        <v>62</v>
      </c>
      <c r="W46" s="100" t="s">
        <v>25</v>
      </c>
      <c r="X46" s="101" t="s">
        <v>6</v>
      </c>
      <c r="Y46" s="100" t="s">
        <v>27</v>
      </c>
      <c r="Z46" s="101" t="s">
        <v>114</v>
      </c>
      <c r="AA46" s="100" t="s">
        <v>8</v>
      </c>
    </row>
    <row r="47" spans="1:38" ht="37" customHeight="1">
      <c r="A47" s="5" t="s">
        <v>85</v>
      </c>
      <c r="B47" s="102" t="s">
        <v>9</v>
      </c>
      <c r="C47" s="102" t="s">
        <v>10</v>
      </c>
      <c r="D47" s="102" t="s">
        <v>11</v>
      </c>
      <c r="E47" s="103" t="s">
        <v>48</v>
      </c>
      <c r="F47" s="104" t="s">
        <v>48</v>
      </c>
      <c r="G47" s="104" t="s">
        <v>48</v>
      </c>
      <c r="H47" s="105" t="s">
        <v>48</v>
      </c>
      <c r="I47" s="135" t="s">
        <v>48</v>
      </c>
      <c r="J47" s="102" t="s">
        <v>146</v>
      </c>
      <c r="K47" s="100">
        <v>80</v>
      </c>
      <c r="L47" s="105" t="s">
        <v>48</v>
      </c>
      <c r="M47" s="105" t="s">
        <v>48</v>
      </c>
      <c r="N47" s="104" t="s">
        <v>48</v>
      </c>
      <c r="O47" s="104" t="s">
        <v>48</v>
      </c>
      <c r="P47" s="100" t="s">
        <v>159</v>
      </c>
      <c r="Q47" s="104" t="s">
        <v>48</v>
      </c>
      <c r="R47" s="104" t="s">
        <v>48</v>
      </c>
      <c r="S47" s="102" t="s">
        <v>48</v>
      </c>
      <c r="T47" s="102" t="s">
        <v>48</v>
      </c>
      <c r="U47" s="131" t="s">
        <v>48</v>
      </c>
      <c r="V47" s="104" t="s">
        <v>48</v>
      </c>
      <c r="W47" s="104" t="s">
        <v>48</v>
      </c>
      <c r="X47" s="101" t="s">
        <v>47</v>
      </c>
      <c r="Y47" s="100" t="s">
        <v>176</v>
      </c>
      <c r="Z47" s="100" t="s">
        <v>115</v>
      </c>
      <c r="AA47" s="104" t="s">
        <v>48</v>
      </c>
      <c r="AB47" s="15"/>
      <c r="AC47" s="6" t="s">
        <v>185</v>
      </c>
      <c r="AD47" s="51"/>
      <c r="AE47" s="51" t="s">
        <v>177</v>
      </c>
      <c r="AF47" s="51" t="s">
        <v>178</v>
      </c>
      <c r="AG47" s="51" t="s">
        <v>179</v>
      </c>
      <c r="AH47" s="133" t="s">
        <v>180</v>
      </c>
      <c r="AI47" s="51" t="s">
        <v>181</v>
      </c>
      <c r="AJ47" s="51" t="s">
        <v>182</v>
      </c>
      <c r="AK47" s="133" t="s">
        <v>183</v>
      </c>
      <c r="AL47" s="133" t="s">
        <v>184</v>
      </c>
    </row>
    <row r="48" spans="1:38" ht="31.5">
      <c r="A48" s="2" t="s">
        <v>122</v>
      </c>
      <c r="B48" s="102" t="s">
        <v>9</v>
      </c>
      <c r="C48" s="102" t="s">
        <v>10</v>
      </c>
      <c r="D48" s="102" t="s">
        <v>11</v>
      </c>
      <c r="E48" s="100" t="s">
        <v>112</v>
      </c>
      <c r="F48" s="100" t="str">
        <f>CONCATENATE(AK48," / ",AL48)</f>
        <v>2577 / 2781</v>
      </c>
      <c r="G48" s="100">
        <v>92</v>
      </c>
      <c r="H48" s="105" t="s">
        <v>48</v>
      </c>
      <c r="I48" s="135">
        <v>407</v>
      </c>
      <c r="J48" s="102" t="s">
        <v>146</v>
      </c>
      <c r="K48" s="100">
        <v>80</v>
      </c>
      <c r="L48" s="105" t="s">
        <v>48</v>
      </c>
      <c r="M48" s="105" t="s">
        <v>48</v>
      </c>
      <c r="N48" s="100" t="s">
        <v>147</v>
      </c>
      <c r="O48" s="100" t="s">
        <v>153</v>
      </c>
      <c r="P48" s="100" t="s">
        <v>159</v>
      </c>
      <c r="Q48" s="100">
        <v>3000</v>
      </c>
      <c r="R48" s="106" t="s">
        <v>160</v>
      </c>
      <c r="S48" s="102" t="s">
        <v>162</v>
      </c>
      <c r="T48" s="102" t="s">
        <v>163</v>
      </c>
      <c r="U48" s="132" t="s">
        <v>167</v>
      </c>
      <c r="V48" s="100" t="s">
        <v>170</v>
      </c>
      <c r="W48" s="100">
        <v>10694</v>
      </c>
      <c r="X48" s="101" t="s">
        <v>47</v>
      </c>
      <c r="Y48" s="100" t="s">
        <v>176</v>
      </c>
      <c r="Z48" s="100" t="s">
        <v>115</v>
      </c>
      <c r="AA48" s="100" t="s">
        <v>122</v>
      </c>
      <c r="AB48" s="15"/>
      <c r="AC48" s="6" t="s">
        <v>186</v>
      </c>
      <c r="AD48" s="51"/>
      <c r="AE48">
        <v>3000</v>
      </c>
      <c r="AF48">
        <v>0.85899999999999999</v>
      </c>
      <c r="AG48">
        <v>0.92700000000000005</v>
      </c>
      <c r="AH48">
        <v>33471.4</v>
      </c>
      <c r="AI48" s="134">
        <f>ROUND((AE48*1000*AF48/AH48),0)</f>
        <v>77</v>
      </c>
      <c r="AJ48" s="134">
        <f>ROUND((AE48*1000*AG48/AH48),0)</f>
        <v>83</v>
      </c>
      <c r="AK48">
        <f>AE48*AF48</f>
        <v>2577</v>
      </c>
      <c r="AL48">
        <f>AE48*AG48</f>
        <v>2781</v>
      </c>
    </row>
    <row r="49" spans="1:38" ht="31.5">
      <c r="A49" s="3" t="s">
        <v>123</v>
      </c>
      <c r="B49" s="102" t="s">
        <v>9</v>
      </c>
      <c r="C49" s="102" t="s">
        <v>10</v>
      </c>
      <c r="D49" s="102" t="s">
        <v>11</v>
      </c>
      <c r="E49" s="100" t="s">
        <v>112</v>
      </c>
      <c r="F49" s="100" t="str">
        <f t="shared" ref="F49:F53" si="5">CONCATENATE(AK49," / ",AL49)</f>
        <v>3436 / 3708</v>
      </c>
      <c r="G49" s="100">
        <v>92</v>
      </c>
      <c r="H49" s="105" t="s">
        <v>48</v>
      </c>
      <c r="I49" s="135">
        <v>464</v>
      </c>
      <c r="J49" s="102" t="s">
        <v>146</v>
      </c>
      <c r="K49" s="100">
        <v>80</v>
      </c>
      <c r="L49" s="105" t="s">
        <v>48</v>
      </c>
      <c r="M49" s="105" t="s">
        <v>48</v>
      </c>
      <c r="N49" s="100" t="s">
        <v>148</v>
      </c>
      <c r="O49" s="100" t="s">
        <v>154</v>
      </c>
      <c r="P49" s="100" t="s">
        <v>159</v>
      </c>
      <c r="Q49" s="100">
        <v>4000</v>
      </c>
      <c r="R49" s="106" t="s">
        <v>160</v>
      </c>
      <c r="S49" s="102" t="s">
        <v>162</v>
      </c>
      <c r="T49" s="102" t="s">
        <v>164</v>
      </c>
      <c r="U49" s="132" t="s">
        <v>168</v>
      </c>
      <c r="V49" s="100" t="s">
        <v>171</v>
      </c>
      <c r="W49" s="100">
        <v>14030</v>
      </c>
      <c r="X49" s="101" t="s">
        <v>47</v>
      </c>
      <c r="Y49" s="100" t="s">
        <v>176</v>
      </c>
      <c r="Z49" s="100" t="s">
        <v>115</v>
      </c>
      <c r="AA49" s="100" t="s">
        <v>123</v>
      </c>
      <c r="AB49" s="15"/>
      <c r="AC49" s="6" t="s">
        <v>186</v>
      </c>
      <c r="AD49" s="51"/>
      <c r="AE49">
        <v>4000</v>
      </c>
      <c r="AF49">
        <v>0.85899999999999999</v>
      </c>
      <c r="AG49">
        <v>0.92700000000000005</v>
      </c>
      <c r="AH49">
        <v>33471.4</v>
      </c>
      <c r="AI49" s="134">
        <f t="shared" ref="AI49:AI53" si="6">ROUND((AE49*1000*AF49/AH49),0)</f>
        <v>103</v>
      </c>
      <c r="AJ49" s="134">
        <f t="shared" ref="AJ49:AJ53" si="7">ROUND((AE49*1000*AG49/AH49),0)</f>
        <v>111</v>
      </c>
      <c r="AK49">
        <f t="shared" ref="AK49:AK53" si="8">AE49*AF49</f>
        <v>3436</v>
      </c>
      <c r="AL49">
        <f t="shared" ref="AL49:AL53" si="9">AE49*AG49</f>
        <v>3708</v>
      </c>
    </row>
    <row r="50" spans="1:38" ht="31.5">
      <c r="A50" s="2" t="s">
        <v>124</v>
      </c>
      <c r="B50" s="102" t="s">
        <v>9</v>
      </c>
      <c r="C50" s="102" t="s">
        <v>10</v>
      </c>
      <c r="D50" s="102" t="s">
        <v>11</v>
      </c>
      <c r="E50" s="100" t="s">
        <v>112</v>
      </c>
      <c r="F50" s="100" t="str">
        <f t="shared" si="5"/>
        <v>4295 / 4635</v>
      </c>
      <c r="G50" s="100">
        <v>92</v>
      </c>
      <c r="H50" s="105" t="s">
        <v>48</v>
      </c>
      <c r="I50" s="135">
        <v>518</v>
      </c>
      <c r="J50" s="102" t="s">
        <v>146</v>
      </c>
      <c r="K50" s="100">
        <v>80</v>
      </c>
      <c r="L50" s="105" t="s">
        <v>48</v>
      </c>
      <c r="M50" s="105" t="s">
        <v>48</v>
      </c>
      <c r="N50" s="100" t="s">
        <v>149</v>
      </c>
      <c r="O50" s="100" t="s">
        <v>155</v>
      </c>
      <c r="P50" s="100" t="s">
        <v>159</v>
      </c>
      <c r="Q50" s="100">
        <v>5000</v>
      </c>
      <c r="R50" s="106" t="s">
        <v>160</v>
      </c>
      <c r="S50" s="102" t="s">
        <v>162</v>
      </c>
      <c r="T50" s="102" t="s">
        <v>164</v>
      </c>
      <c r="U50" s="132" t="s">
        <v>168</v>
      </c>
      <c r="V50" s="100" t="s">
        <v>172</v>
      </c>
      <c r="W50" s="100">
        <v>15383</v>
      </c>
      <c r="X50" s="101" t="s">
        <v>47</v>
      </c>
      <c r="Y50" s="100" t="s">
        <v>176</v>
      </c>
      <c r="Z50" s="100" t="s">
        <v>115</v>
      </c>
      <c r="AA50" s="100" t="s">
        <v>124</v>
      </c>
      <c r="AB50" s="15"/>
      <c r="AC50" s="6" t="s">
        <v>186</v>
      </c>
      <c r="AD50" s="51"/>
      <c r="AE50">
        <v>5000</v>
      </c>
      <c r="AF50">
        <v>0.85899999999999999</v>
      </c>
      <c r="AG50">
        <v>0.92700000000000005</v>
      </c>
      <c r="AH50">
        <v>33471.4</v>
      </c>
      <c r="AI50" s="134">
        <f t="shared" si="6"/>
        <v>128</v>
      </c>
      <c r="AJ50" s="134">
        <f t="shared" si="7"/>
        <v>138</v>
      </c>
      <c r="AK50">
        <f t="shared" si="8"/>
        <v>4295</v>
      </c>
      <c r="AL50">
        <f t="shared" si="9"/>
        <v>4635</v>
      </c>
    </row>
    <row r="51" spans="1:38" ht="31.5">
      <c r="A51" s="3" t="s">
        <v>125</v>
      </c>
      <c r="B51" s="102" t="s">
        <v>9</v>
      </c>
      <c r="C51" s="102" t="s">
        <v>10</v>
      </c>
      <c r="D51" s="102" t="s">
        <v>11</v>
      </c>
      <c r="E51" s="100" t="s">
        <v>112</v>
      </c>
      <c r="F51" s="100" t="str">
        <f t="shared" si="5"/>
        <v>5154 / 5562</v>
      </c>
      <c r="G51" s="100">
        <v>92</v>
      </c>
      <c r="H51" s="105" t="s">
        <v>48</v>
      </c>
      <c r="I51" s="135">
        <v>724</v>
      </c>
      <c r="J51" s="102" t="s">
        <v>146</v>
      </c>
      <c r="K51" s="100">
        <v>80</v>
      </c>
      <c r="L51" s="105" t="s">
        <v>48</v>
      </c>
      <c r="M51" s="105" t="s">
        <v>48</v>
      </c>
      <c r="N51" s="100" t="s">
        <v>150</v>
      </c>
      <c r="O51" s="100" t="s">
        <v>156</v>
      </c>
      <c r="P51" s="100" t="s">
        <v>159</v>
      </c>
      <c r="Q51" s="100">
        <v>6000</v>
      </c>
      <c r="R51" s="106" t="s">
        <v>161</v>
      </c>
      <c r="S51" s="102" t="s">
        <v>162</v>
      </c>
      <c r="T51" s="102" t="s">
        <v>164</v>
      </c>
      <c r="U51" s="132" t="s">
        <v>168</v>
      </c>
      <c r="V51" s="100" t="s">
        <v>173</v>
      </c>
      <c r="W51" s="100">
        <v>19403</v>
      </c>
      <c r="X51" s="101" t="s">
        <v>47</v>
      </c>
      <c r="Y51" s="100" t="s">
        <v>176</v>
      </c>
      <c r="Z51" s="100" t="s">
        <v>115</v>
      </c>
      <c r="AA51" s="100" t="s">
        <v>125</v>
      </c>
      <c r="AB51" s="15"/>
      <c r="AC51" s="6" t="s">
        <v>187</v>
      </c>
      <c r="AD51" s="51"/>
      <c r="AE51">
        <v>6000</v>
      </c>
      <c r="AF51">
        <v>0.85899999999999999</v>
      </c>
      <c r="AG51">
        <v>0.92700000000000005</v>
      </c>
      <c r="AH51">
        <v>33471.4</v>
      </c>
      <c r="AI51" s="134">
        <f t="shared" si="6"/>
        <v>154</v>
      </c>
      <c r="AJ51" s="134">
        <f t="shared" si="7"/>
        <v>166</v>
      </c>
      <c r="AK51">
        <f t="shared" si="8"/>
        <v>5154</v>
      </c>
      <c r="AL51">
        <f t="shared" si="9"/>
        <v>5562</v>
      </c>
    </row>
    <row r="52" spans="1:38" ht="31.5">
      <c r="A52" s="2" t="s">
        <v>126</v>
      </c>
      <c r="B52" s="102" t="s">
        <v>9</v>
      </c>
      <c r="C52" s="102" t="s">
        <v>10</v>
      </c>
      <c r="D52" s="102" t="s">
        <v>11</v>
      </c>
      <c r="E52" s="100" t="s">
        <v>112</v>
      </c>
      <c r="F52" s="100" t="str">
        <f t="shared" si="5"/>
        <v>6872 / 7416</v>
      </c>
      <c r="G52" s="100">
        <v>92</v>
      </c>
      <c r="H52" s="105" t="s">
        <v>48</v>
      </c>
      <c r="I52" s="135">
        <v>898</v>
      </c>
      <c r="J52" s="102" t="s">
        <v>146</v>
      </c>
      <c r="K52" s="100">
        <v>80</v>
      </c>
      <c r="L52" s="105" t="s">
        <v>48</v>
      </c>
      <c r="M52" s="105" t="s">
        <v>48</v>
      </c>
      <c r="N52" s="100" t="s">
        <v>151</v>
      </c>
      <c r="O52" s="100" t="s">
        <v>157</v>
      </c>
      <c r="P52" s="100" t="s">
        <v>159</v>
      </c>
      <c r="Q52" s="100">
        <v>8000</v>
      </c>
      <c r="R52" s="106" t="s">
        <v>161</v>
      </c>
      <c r="S52" s="102" t="s">
        <v>162</v>
      </c>
      <c r="T52" s="102" t="s">
        <v>165</v>
      </c>
      <c r="U52" s="132" t="s">
        <v>169</v>
      </c>
      <c r="V52" s="100" t="s">
        <v>174</v>
      </c>
      <c r="W52" s="100">
        <v>24134</v>
      </c>
      <c r="X52" s="101" t="s">
        <v>47</v>
      </c>
      <c r="Y52" s="100" t="s">
        <v>176</v>
      </c>
      <c r="Z52" s="100" t="s">
        <v>115</v>
      </c>
      <c r="AA52" s="100" t="s">
        <v>126</v>
      </c>
      <c r="AB52" s="15"/>
      <c r="AC52" s="6" t="s">
        <v>188</v>
      </c>
      <c r="AD52" s="51"/>
      <c r="AE52">
        <v>8000</v>
      </c>
      <c r="AF52">
        <v>0.85899999999999999</v>
      </c>
      <c r="AG52">
        <v>0.92700000000000005</v>
      </c>
      <c r="AH52">
        <v>33471.4</v>
      </c>
      <c r="AI52" s="134">
        <f t="shared" si="6"/>
        <v>205</v>
      </c>
      <c r="AJ52" s="134">
        <f t="shared" si="7"/>
        <v>222</v>
      </c>
      <c r="AK52">
        <f t="shared" si="8"/>
        <v>6872</v>
      </c>
      <c r="AL52">
        <f t="shared" si="9"/>
        <v>7416</v>
      </c>
    </row>
    <row r="53" spans="1:38" ht="31.5">
      <c r="A53" s="3" t="s">
        <v>127</v>
      </c>
      <c r="B53" s="102" t="s">
        <v>9</v>
      </c>
      <c r="C53" s="102" t="s">
        <v>10</v>
      </c>
      <c r="D53" s="102" t="s">
        <v>11</v>
      </c>
      <c r="E53" s="100" t="s">
        <v>112</v>
      </c>
      <c r="F53" s="100" t="str">
        <f t="shared" si="5"/>
        <v>8590 / 9270</v>
      </c>
      <c r="G53" s="100">
        <v>92</v>
      </c>
      <c r="H53" s="105" t="s">
        <v>48</v>
      </c>
      <c r="I53" s="135">
        <v>1043</v>
      </c>
      <c r="J53" s="102" t="s">
        <v>146</v>
      </c>
      <c r="K53" s="100">
        <v>80</v>
      </c>
      <c r="L53" s="105" t="s">
        <v>48</v>
      </c>
      <c r="M53" s="105" t="s">
        <v>48</v>
      </c>
      <c r="N53" s="100" t="s">
        <v>152</v>
      </c>
      <c r="O53" s="100" t="s">
        <v>158</v>
      </c>
      <c r="P53" s="100" t="s">
        <v>159</v>
      </c>
      <c r="Q53" s="100">
        <v>10000</v>
      </c>
      <c r="R53" s="106" t="s">
        <v>161</v>
      </c>
      <c r="S53" s="102" t="s">
        <v>162</v>
      </c>
      <c r="T53" s="102" t="s">
        <v>165</v>
      </c>
      <c r="U53" s="132" t="s">
        <v>169</v>
      </c>
      <c r="V53" s="100" t="s">
        <v>175</v>
      </c>
      <c r="W53" s="100">
        <v>27219</v>
      </c>
      <c r="X53" s="101" t="s">
        <v>47</v>
      </c>
      <c r="Y53" s="100" t="s">
        <v>176</v>
      </c>
      <c r="Z53" s="100" t="s">
        <v>115</v>
      </c>
      <c r="AA53" s="100" t="s">
        <v>127</v>
      </c>
      <c r="AB53" s="15"/>
      <c r="AC53" s="6" t="s">
        <v>188</v>
      </c>
      <c r="AD53" s="51"/>
      <c r="AE53">
        <v>10000</v>
      </c>
      <c r="AF53">
        <v>0.85899999999999999</v>
      </c>
      <c r="AG53">
        <v>0.92700000000000005</v>
      </c>
      <c r="AH53">
        <v>33471.4</v>
      </c>
      <c r="AI53" s="134">
        <f t="shared" si="6"/>
        <v>257</v>
      </c>
      <c r="AJ53" s="134">
        <f t="shared" si="7"/>
        <v>277</v>
      </c>
      <c r="AK53">
        <f t="shared" si="8"/>
        <v>8590</v>
      </c>
      <c r="AL53">
        <f t="shared" si="9"/>
        <v>9270</v>
      </c>
    </row>
    <row r="54" spans="1:38">
      <c r="A54" s="49"/>
      <c r="B54" s="49"/>
      <c r="C54" s="49"/>
    </row>
    <row r="55" spans="1:38">
      <c r="A55" s="49"/>
      <c r="B55" s="49"/>
      <c r="C55" s="49"/>
    </row>
    <row r="56" spans="1:38">
      <c r="A56" s="49"/>
      <c r="B56" s="49"/>
      <c r="C56" s="49"/>
    </row>
    <row r="57" spans="1:38">
      <c r="A57" s="49"/>
      <c r="B57" s="49"/>
      <c r="C57" s="49"/>
    </row>
    <row r="58" spans="1:38" ht="17.149999999999999" customHeight="1">
      <c r="B58" s="266" t="s">
        <v>133</v>
      </c>
      <c r="C58" s="266"/>
      <c r="D58" s="266"/>
      <c r="E58" s="266"/>
      <c r="F58" s="266"/>
      <c r="G58" s="266"/>
      <c r="H58" s="266"/>
      <c r="I58" s="266"/>
      <c r="J58" s="266"/>
      <c r="K58" s="266"/>
      <c r="L58" s="266"/>
      <c r="M58" s="266"/>
      <c r="N58" s="266"/>
      <c r="O58" s="266"/>
      <c r="P58" s="266"/>
      <c r="Q58" s="266"/>
      <c r="R58" s="266"/>
      <c r="S58" s="266"/>
      <c r="T58" s="266"/>
      <c r="U58" s="266"/>
      <c r="V58" s="266"/>
      <c r="W58" s="266"/>
      <c r="X58" s="266"/>
      <c r="Y58" s="266"/>
      <c r="Z58" s="266"/>
      <c r="AA58" s="266"/>
    </row>
    <row r="59" spans="1:38">
      <c r="B59" s="99"/>
      <c r="C59" s="99"/>
      <c r="D59" s="99"/>
      <c r="E59" s="99"/>
      <c r="F59" s="99"/>
      <c r="G59" s="99"/>
      <c r="H59" s="267" t="s">
        <v>0</v>
      </c>
      <c r="I59" s="268"/>
      <c r="J59" s="268"/>
      <c r="K59" s="268"/>
      <c r="L59" s="268"/>
      <c r="M59" s="268"/>
      <c r="N59" s="268"/>
      <c r="O59" s="269"/>
      <c r="P59" s="267" t="s">
        <v>1</v>
      </c>
      <c r="Q59" s="268"/>
      <c r="R59" s="269"/>
      <c r="S59" s="266" t="s">
        <v>2</v>
      </c>
      <c r="T59" s="266"/>
      <c r="U59" s="266"/>
      <c r="V59" s="180"/>
      <c r="W59" s="180"/>
      <c r="X59" s="180"/>
      <c r="Y59" s="180"/>
      <c r="Z59" s="180"/>
      <c r="AA59" s="180"/>
      <c r="AB59" s="1"/>
    </row>
    <row r="60" spans="1:38" ht="44.15" customHeight="1">
      <c r="A60" s="5"/>
      <c r="B60" s="100" t="s">
        <v>18</v>
      </c>
      <c r="C60" s="100" t="s">
        <v>3</v>
      </c>
      <c r="D60" s="100" t="s">
        <v>4</v>
      </c>
      <c r="E60" s="101" t="s">
        <v>132</v>
      </c>
      <c r="F60" s="100" t="s">
        <v>30</v>
      </c>
      <c r="G60" s="101" t="s">
        <v>80</v>
      </c>
      <c r="H60" s="100" t="s">
        <v>81</v>
      </c>
      <c r="I60" s="101" t="s">
        <v>134</v>
      </c>
      <c r="J60" s="100" t="s">
        <v>19</v>
      </c>
      <c r="K60" s="100" t="s">
        <v>135</v>
      </c>
      <c r="L60" s="100" t="s">
        <v>83</v>
      </c>
      <c r="M60" s="100" t="s">
        <v>82</v>
      </c>
      <c r="N60" s="53" t="s">
        <v>141</v>
      </c>
      <c r="O60" s="100" t="s">
        <v>64</v>
      </c>
      <c r="P60" s="100" t="s">
        <v>5</v>
      </c>
      <c r="Q60" s="100" t="s">
        <v>22</v>
      </c>
      <c r="R60" s="100" t="s">
        <v>63</v>
      </c>
      <c r="S60" s="100" t="s">
        <v>61</v>
      </c>
      <c r="T60" s="100" t="s">
        <v>7</v>
      </c>
      <c r="U60" s="100" t="s">
        <v>26</v>
      </c>
      <c r="V60" s="100" t="s">
        <v>62</v>
      </c>
      <c r="W60" s="100" t="s">
        <v>25</v>
      </c>
      <c r="X60" s="101" t="s">
        <v>6</v>
      </c>
      <c r="Y60" s="100" t="s">
        <v>27</v>
      </c>
      <c r="Z60" s="101" t="s">
        <v>114</v>
      </c>
      <c r="AA60" s="100" t="s">
        <v>8</v>
      </c>
    </row>
    <row r="61" spans="1:38" ht="37" customHeight="1">
      <c r="A61" s="5" t="s">
        <v>85</v>
      </c>
      <c r="B61" s="102" t="s">
        <v>139</v>
      </c>
      <c r="C61" s="102" t="s">
        <v>10</v>
      </c>
      <c r="D61" s="102" t="s">
        <v>140</v>
      </c>
      <c r="E61" s="103" t="s">
        <v>48</v>
      </c>
      <c r="F61" s="104" t="s">
        <v>48</v>
      </c>
      <c r="G61" s="99"/>
      <c r="H61" s="105" t="s">
        <v>48</v>
      </c>
      <c r="I61" s="105"/>
      <c r="J61" s="102">
        <v>150</v>
      </c>
      <c r="K61" s="100">
        <v>160</v>
      </c>
      <c r="L61" s="105" t="s">
        <v>48</v>
      </c>
      <c r="M61" s="105" t="s">
        <v>48</v>
      </c>
      <c r="N61" s="105" t="s">
        <v>142</v>
      </c>
      <c r="O61" s="104" t="s">
        <v>48</v>
      </c>
      <c r="P61" s="100" t="s">
        <v>28</v>
      </c>
      <c r="Q61" s="104" t="s">
        <v>48</v>
      </c>
      <c r="R61" s="104" t="s">
        <v>48</v>
      </c>
      <c r="S61" s="104" t="s">
        <v>48</v>
      </c>
      <c r="T61" s="104" t="s">
        <v>48</v>
      </c>
      <c r="U61" s="104" t="s">
        <v>48</v>
      </c>
      <c r="V61" s="104" t="s">
        <v>48</v>
      </c>
      <c r="W61" s="104" t="s">
        <v>48</v>
      </c>
      <c r="X61" s="104"/>
      <c r="Y61" s="100" t="s">
        <v>29</v>
      </c>
      <c r="Z61" s="100" t="s">
        <v>115</v>
      </c>
      <c r="AA61" s="104" t="s">
        <v>48</v>
      </c>
      <c r="AB61" s="15" t="s">
        <v>56</v>
      </c>
      <c r="AC61" s="6" t="s">
        <v>59</v>
      </c>
      <c r="AD61" s="6" t="s">
        <v>59</v>
      </c>
    </row>
    <row r="62" spans="1:38" ht="21">
      <c r="A62" s="2" t="s">
        <v>128</v>
      </c>
      <c r="B62" s="102" t="s">
        <v>139</v>
      </c>
      <c r="C62" s="102" t="s">
        <v>10</v>
      </c>
      <c r="D62" s="102" t="s">
        <v>140</v>
      </c>
      <c r="E62" s="100" t="s">
        <v>112</v>
      </c>
      <c r="F62" s="100" t="s">
        <v>12</v>
      </c>
      <c r="G62" s="100">
        <v>95.5</v>
      </c>
      <c r="H62" s="105" t="s">
        <v>48</v>
      </c>
      <c r="I62" s="105">
        <v>16.25</v>
      </c>
      <c r="J62" s="102">
        <v>150</v>
      </c>
      <c r="K62" s="100">
        <v>160</v>
      </c>
      <c r="L62" s="105" t="s">
        <v>48</v>
      </c>
      <c r="M62" s="105" t="s">
        <v>48</v>
      </c>
      <c r="N62" s="105" t="s">
        <v>142</v>
      </c>
      <c r="O62" s="100" t="s">
        <v>46</v>
      </c>
      <c r="P62" s="100" t="s">
        <v>28</v>
      </c>
      <c r="Q62" s="100">
        <v>750</v>
      </c>
      <c r="R62" s="106" t="s">
        <v>23</v>
      </c>
      <c r="S62" s="100" t="s">
        <v>16</v>
      </c>
      <c r="T62" s="100">
        <v>13</v>
      </c>
      <c r="U62" s="107">
        <v>1</v>
      </c>
      <c r="V62" s="100" t="s">
        <v>15</v>
      </c>
      <c r="W62" s="100">
        <v>820</v>
      </c>
      <c r="X62" s="101" t="s">
        <v>47</v>
      </c>
      <c r="Y62" s="100" t="s">
        <v>29</v>
      </c>
      <c r="Z62" s="100" t="s">
        <v>115</v>
      </c>
      <c r="AA62" s="100" t="s">
        <v>128</v>
      </c>
      <c r="AB62" s="15" t="s">
        <v>57</v>
      </c>
      <c r="AC62" s="6" t="s">
        <v>32</v>
      </c>
      <c r="AD62" s="6" t="s">
        <v>32</v>
      </c>
    </row>
    <row r="63" spans="1:38" ht="21">
      <c r="A63" s="3" t="s">
        <v>129</v>
      </c>
      <c r="B63" s="102" t="s">
        <v>139</v>
      </c>
      <c r="C63" s="102" t="s">
        <v>10</v>
      </c>
      <c r="D63" s="102" t="s">
        <v>140</v>
      </c>
      <c r="E63" s="100" t="s">
        <v>112</v>
      </c>
      <c r="F63" s="100" t="s">
        <v>33</v>
      </c>
      <c r="G63" s="100">
        <v>96.8</v>
      </c>
      <c r="H63" s="105" t="s">
        <v>48</v>
      </c>
      <c r="I63" s="105">
        <v>14.25</v>
      </c>
      <c r="J63" s="102">
        <v>150</v>
      </c>
      <c r="K63" s="100">
        <v>160</v>
      </c>
      <c r="L63" s="105" t="s">
        <v>48</v>
      </c>
      <c r="M63" s="105" t="s">
        <v>48</v>
      </c>
      <c r="N63" s="105" t="s">
        <v>142</v>
      </c>
      <c r="O63" s="100" t="s">
        <v>46</v>
      </c>
      <c r="P63" s="100" t="s">
        <v>28</v>
      </c>
      <c r="Q63" s="100">
        <v>1000</v>
      </c>
      <c r="R63" s="106" t="s">
        <v>23</v>
      </c>
      <c r="S63" s="100" t="s">
        <v>16</v>
      </c>
      <c r="T63" s="100">
        <v>13</v>
      </c>
      <c r="U63" s="107">
        <v>1</v>
      </c>
      <c r="V63" s="100" t="s">
        <v>15</v>
      </c>
      <c r="W63" s="100">
        <v>820</v>
      </c>
      <c r="X63" s="101" t="s">
        <v>47</v>
      </c>
      <c r="Y63" s="100" t="s">
        <v>29</v>
      </c>
      <c r="Z63" s="100" t="s">
        <v>115</v>
      </c>
      <c r="AA63" s="100" t="s">
        <v>129</v>
      </c>
      <c r="AB63" s="15" t="s">
        <v>58</v>
      </c>
      <c r="AC63" s="6" t="s">
        <v>32</v>
      </c>
      <c r="AD63" s="6" t="s">
        <v>32</v>
      </c>
    </row>
    <row r="64" spans="1:38" ht="21">
      <c r="A64" s="2" t="s">
        <v>130</v>
      </c>
      <c r="B64" s="102" t="s">
        <v>139</v>
      </c>
      <c r="C64" s="102" t="s">
        <v>10</v>
      </c>
      <c r="D64" s="102" t="s">
        <v>140</v>
      </c>
      <c r="E64" s="100" t="s">
        <v>112</v>
      </c>
      <c r="F64" s="100" t="s">
        <v>34</v>
      </c>
      <c r="G64" s="100">
        <v>94.6</v>
      </c>
      <c r="H64" s="105" t="s">
        <v>48</v>
      </c>
      <c r="I64" s="105">
        <v>44</v>
      </c>
      <c r="J64" s="102">
        <v>150</v>
      </c>
      <c r="K64" s="100">
        <v>160</v>
      </c>
      <c r="L64" s="105" t="s">
        <v>48</v>
      </c>
      <c r="M64" s="105" t="s">
        <v>48</v>
      </c>
      <c r="N64" s="105" t="s">
        <v>142</v>
      </c>
      <c r="O64" s="100" t="s">
        <v>52</v>
      </c>
      <c r="P64" s="100" t="s">
        <v>28</v>
      </c>
      <c r="Q64" s="100">
        <v>1500</v>
      </c>
      <c r="R64" s="106" t="s">
        <v>23</v>
      </c>
      <c r="S64" s="100" t="s">
        <v>16</v>
      </c>
      <c r="T64" s="100">
        <v>16</v>
      </c>
      <c r="U64" s="107">
        <v>1.6</v>
      </c>
      <c r="V64" s="100" t="s">
        <v>36</v>
      </c>
      <c r="W64" s="100">
        <v>1654</v>
      </c>
      <c r="X64" s="101" t="s">
        <v>47</v>
      </c>
      <c r="Y64" s="100" t="s">
        <v>29</v>
      </c>
      <c r="Z64" s="100" t="s">
        <v>115</v>
      </c>
      <c r="AA64" s="100" t="s">
        <v>130</v>
      </c>
      <c r="AB64" s="15" t="s">
        <v>58</v>
      </c>
      <c r="AC64" s="6" t="s">
        <v>32</v>
      </c>
      <c r="AD64" s="6" t="s">
        <v>32</v>
      </c>
    </row>
    <row r="65" spans="1:38" ht="21">
      <c r="A65" s="3" t="s">
        <v>131</v>
      </c>
      <c r="B65" s="102" t="s">
        <v>139</v>
      </c>
      <c r="C65" s="102" t="s">
        <v>10</v>
      </c>
      <c r="D65" s="102" t="s">
        <v>140</v>
      </c>
      <c r="E65" s="100" t="s">
        <v>112</v>
      </c>
      <c r="F65" s="100" t="s">
        <v>37</v>
      </c>
      <c r="G65" s="100">
        <v>94.6</v>
      </c>
      <c r="H65" s="105" t="s">
        <v>48</v>
      </c>
      <c r="I65" s="105">
        <v>40</v>
      </c>
      <c r="J65" s="102">
        <v>150</v>
      </c>
      <c r="K65" s="100">
        <v>160</v>
      </c>
      <c r="L65" s="105" t="s">
        <v>48</v>
      </c>
      <c r="M65" s="105" t="s">
        <v>48</v>
      </c>
      <c r="N65" s="105" t="s">
        <v>142</v>
      </c>
      <c r="O65" s="100" t="s">
        <v>52</v>
      </c>
      <c r="P65" s="100" t="s">
        <v>28</v>
      </c>
      <c r="Q65" s="100">
        <v>2000</v>
      </c>
      <c r="R65" s="106" t="s">
        <v>23</v>
      </c>
      <c r="S65" s="100" t="s">
        <v>16</v>
      </c>
      <c r="T65" s="100">
        <v>16</v>
      </c>
      <c r="U65" s="107">
        <v>1.6</v>
      </c>
      <c r="V65" s="100" t="s">
        <v>39</v>
      </c>
      <c r="W65" s="100">
        <v>1654</v>
      </c>
      <c r="X65" s="101" t="s">
        <v>47</v>
      </c>
      <c r="Y65" s="100" t="s">
        <v>29</v>
      </c>
      <c r="Z65" s="100" t="s">
        <v>115</v>
      </c>
      <c r="AA65" s="100" t="s">
        <v>131</v>
      </c>
      <c r="AB65" s="15" t="s">
        <v>58</v>
      </c>
      <c r="AC65" s="6" t="s">
        <v>32</v>
      </c>
      <c r="AD65" s="6" t="s">
        <v>32</v>
      </c>
    </row>
    <row r="67" spans="1:38" s="179" customFormat="1"/>
    <row r="68" spans="1:38" s="179" customFormat="1"/>
    <row r="70" spans="1:38">
      <c r="A70" s="179"/>
      <c r="B70" s="179"/>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row>
    <row r="71" spans="1:38" ht="17.149999999999999" customHeight="1">
      <c r="B71" s="266" t="s">
        <v>97</v>
      </c>
      <c r="C71" s="266"/>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row>
    <row r="72" spans="1:38" ht="15.75" customHeight="1">
      <c r="B72" s="99"/>
      <c r="C72" s="99"/>
      <c r="D72" s="99"/>
      <c r="E72" s="99"/>
      <c r="F72" s="99"/>
      <c r="G72" s="99"/>
      <c r="H72" s="267" t="s">
        <v>0</v>
      </c>
      <c r="I72" s="268"/>
      <c r="J72" s="268"/>
      <c r="K72" s="268"/>
      <c r="L72" s="268"/>
      <c r="M72" s="268"/>
      <c r="N72" s="268"/>
      <c r="O72" s="268"/>
      <c r="P72" s="269"/>
      <c r="Q72" s="267" t="s">
        <v>1</v>
      </c>
      <c r="R72" s="268"/>
      <c r="S72" s="269"/>
      <c r="T72" s="266" t="s">
        <v>2</v>
      </c>
      <c r="U72" s="266"/>
      <c r="V72" s="180"/>
      <c r="W72" s="180"/>
      <c r="X72" s="180"/>
      <c r="Y72" s="180"/>
      <c r="Z72" s="180"/>
      <c r="AA72" s="180"/>
    </row>
    <row r="73" spans="1:38" ht="44.15" customHeight="1">
      <c r="A73" s="5"/>
      <c r="B73" s="100" t="s">
        <v>18</v>
      </c>
      <c r="C73" s="100" t="s">
        <v>3</v>
      </c>
      <c r="D73" s="100" t="s">
        <v>4</v>
      </c>
      <c r="E73" s="101" t="s">
        <v>24</v>
      </c>
      <c r="F73" s="100" t="s">
        <v>30</v>
      </c>
      <c r="G73" s="100" t="s">
        <v>67</v>
      </c>
      <c r="H73" s="101" t="s">
        <v>80</v>
      </c>
      <c r="I73" s="100" t="s">
        <v>81</v>
      </c>
      <c r="J73" s="101" t="s">
        <v>113</v>
      </c>
      <c r="K73" s="100" t="s">
        <v>19</v>
      </c>
      <c r="L73" s="100" t="s">
        <v>20</v>
      </c>
      <c r="M73" s="100" t="s">
        <v>83</v>
      </c>
      <c r="N73" s="100" t="s">
        <v>82</v>
      </c>
      <c r="O73" s="100" t="s">
        <v>21</v>
      </c>
      <c r="P73" s="100" t="s">
        <v>64</v>
      </c>
      <c r="Q73" s="100" t="s">
        <v>5</v>
      </c>
      <c r="R73" s="100" t="s">
        <v>22</v>
      </c>
      <c r="S73" s="100" t="s">
        <v>63</v>
      </c>
      <c r="T73" s="100" t="s">
        <v>61</v>
      </c>
      <c r="U73" s="100" t="s">
        <v>7</v>
      </c>
      <c r="V73" s="100" t="s">
        <v>62</v>
      </c>
      <c r="W73" s="100" t="s">
        <v>25</v>
      </c>
      <c r="X73" s="101" t="s">
        <v>6</v>
      </c>
      <c r="Y73" s="100" t="s">
        <v>27</v>
      </c>
      <c r="Z73" s="101" t="s">
        <v>114</v>
      </c>
      <c r="AA73" s="100" t="s">
        <v>8</v>
      </c>
    </row>
    <row r="74" spans="1:38" ht="37" customHeight="1">
      <c r="A74" s="5" t="s">
        <v>85</v>
      </c>
      <c r="B74" s="102" t="s">
        <v>9</v>
      </c>
      <c r="C74" s="102" t="s">
        <v>10</v>
      </c>
      <c r="D74" s="102" t="s">
        <v>11</v>
      </c>
      <c r="E74" s="103" t="s">
        <v>48</v>
      </c>
      <c r="F74" s="104" t="s">
        <v>48</v>
      </c>
      <c r="G74" s="104" t="s">
        <v>48</v>
      </c>
      <c r="H74" s="104" t="s">
        <v>48</v>
      </c>
      <c r="I74" s="105" t="s">
        <v>48</v>
      </c>
      <c r="J74" s="135" t="s">
        <v>48</v>
      </c>
      <c r="K74" s="131">
        <v>80</v>
      </c>
      <c r="L74" s="100">
        <v>92</v>
      </c>
      <c r="M74" s="105" t="s">
        <v>48</v>
      </c>
      <c r="N74" s="105" t="s">
        <v>48</v>
      </c>
      <c r="O74" s="104" t="s">
        <v>48</v>
      </c>
      <c r="P74" s="104" t="s">
        <v>48</v>
      </c>
      <c r="Q74" s="100" t="s">
        <v>28</v>
      </c>
      <c r="R74" s="104" t="s">
        <v>48</v>
      </c>
      <c r="S74" s="104" t="s">
        <v>48</v>
      </c>
      <c r="T74" s="104" t="s">
        <v>48</v>
      </c>
      <c r="U74" s="104" t="s">
        <v>48</v>
      </c>
      <c r="V74" s="104" t="s">
        <v>48</v>
      </c>
      <c r="W74" s="104" t="s">
        <v>48</v>
      </c>
      <c r="X74" s="101" t="s">
        <v>47</v>
      </c>
      <c r="Y74" s="100" t="s">
        <v>219</v>
      </c>
      <c r="Z74" s="100" t="s">
        <v>115</v>
      </c>
      <c r="AA74" s="104" t="s">
        <v>48</v>
      </c>
      <c r="AB74" s="15" t="s">
        <v>56</v>
      </c>
      <c r="AC74" s="6" t="s">
        <v>59</v>
      </c>
      <c r="AD74" s="51"/>
      <c r="AE74" s="51" t="s">
        <v>177</v>
      </c>
      <c r="AF74" s="51" t="s">
        <v>178</v>
      </c>
      <c r="AG74" s="51" t="s">
        <v>251</v>
      </c>
      <c r="AH74" s="133" t="s">
        <v>180</v>
      </c>
      <c r="AI74" s="51" t="s">
        <v>181</v>
      </c>
      <c r="AJ74" s="51" t="s">
        <v>252</v>
      </c>
      <c r="AK74" s="133" t="s">
        <v>183</v>
      </c>
      <c r="AL74" s="133" t="s">
        <v>253</v>
      </c>
    </row>
    <row r="75" spans="1:38" ht="21">
      <c r="A75" s="2" t="s">
        <v>347</v>
      </c>
      <c r="B75" s="102" t="s">
        <v>9</v>
      </c>
      <c r="C75" s="102" t="s">
        <v>10</v>
      </c>
      <c r="D75" s="102" t="s">
        <v>11</v>
      </c>
      <c r="E75" s="100" t="s">
        <v>143</v>
      </c>
      <c r="F75" s="100" t="str">
        <f t="shared" ref="F75:F82" si="10">CONCATENATE(AK75," / ",AL75)</f>
        <v>421 / 444</v>
      </c>
      <c r="G75" s="100">
        <v>3</v>
      </c>
      <c r="H75" s="100">
        <v>90</v>
      </c>
      <c r="I75" s="105" t="s">
        <v>48</v>
      </c>
      <c r="J75" s="135">
        <v>3.8</v>
      </c>
      <c r="K75" s="131">
        <v>80</v>
      </c>
      <c r="L75" s="100">
        <v>92</v>
      </c>
      <c r="M75" s="105" t="s">
        <v>48</v>
      </c>
      <c r="N75" s="105" t="s">
        <v>48</v>
      </c>
      <c r="O75" s="100" t="s">
        <v>195</v>
      </c>
      <c r="P75" s="100" t="s">
        <v>203</v>
      </c>
      <c r="Q75" s="100" t="s">
        <v>28</v>
      </c>
      <c r="R75" s="100">
        <v>482</v>
      </c>
      <c r="S75" s="106" t="s">
        <v>211</v>
      </c>
      <c r="T75" s="100" t="s">
        <v>16</v>
      </c>
      <c r="U75" s="100">
        <v>2.7</v>
      </c>
      <c r="V75" s="100" t="s">
        <v>213</v>
      </c>
      <c r="W75" s="100">
        <v>454</v>
      </c>
      <c r="X75" s="101" t="s">
        <v>47</v>
      </c>
      <c r="Y75" s="100" t="s">
        <v>219</v>
      </c>
      <c r="Z75" s="100" t="s">
        <v>115</v>
      </c>
      <c r="AA75" s="100" t="s">
        <v>347</v>
      </c>
      <c r="AB75" s="15" t="s">
        <v>220</v>
      </c>
      <c r="AC75" s="6" t="s">
        <v>32</v>
      </c>
      <c r="AD75" s="51"/>
      <c r="AE75">
        <v>481.5</v>
      </c>
      <c r="AF75">
        <v>0.875</v>
      </c>
      <c r="AG75">
        <v>0.92200000000000004</v>
      </c>
      <c r="AH75">
        <v>33471.4</v>
      </c>
      <c r="AI75" s="134">
        <f>ROUND((AE75*1000*AF75/AH75),0)</f>
        <v>13</v>
      </c>
      <c r="AJ75" s="134">
        <f>ROUND((AE75*1000*AG75/AH75),0)</f>
        <v>13</v>
      </c>
      <c r="AK75" s="134">
        <f>ROUND(AE75*AF75,0)</f>
        <v>421</v>
      </c>
      <c r="AL75" s="134">
        <f>ROUND(AE75*AG75,0)</f>
        <v>444</v>
      </c>
    </row>
    <row r="76" spans="1:38" ht="21">
      <c r="A76" s="3" t="s">
        <v>348</v>
      </c>
      <c r="B76" s="102" t="s">
        <v>9</v>
      </c>
      <c r="C76" s="102" t="s">
        <v>10</v>
      </c>
      <c r="D76" s="102" t="s">
        <v>11</v>
      </c>
      <c r="E76" s="100" t="s">
        <v>143</v>
      </c>
      <c r="F76" s="100" t="str">
        <f t="shared" si="10"/>
        <v>562 / 592</v>
      </c>
      <c r="G76" s="100">
        <v>4</v>
      </c>
      <c r="H76" s="100">
        <v>90</v>
      </c>
      <c r="I76" s="105" t="s">
        <v>48</v>
      </c>
      <c r="J76" s="135">
        <v>4.9000000000000004</v>
      </c>
      <c r="K76" s="131">
        <v>80</v>
      </c>
      <c r="L76" s="100">
        <v>92</v>
      </c>
      <c r="M76" s="105" t="s">
        <v>48</v>
      </c>
      <c r="N76" s="105" t="s">
        <v>48</v>
      </c>
      <c r="O76" s="100" t="s">
        <v>196</v>
      </c>
      <c r="P76" s="100" t="s">
        <v>204</v>
      </c>
      <c r="Q76" s="100" t="s">
        <v>28</v>
      </c>
      <c r="R76" s="100">
        <v>642</v>
      </c>
      <c r="S76" s="106" t="s">
        <v>211</v>
      </c>
      <c r="T76" s="100" t="s">
        <v>16</v>
      </c>
      <c r="U76" s="100">
        <v>3.6</v>
      </c>
      <c r="V76" s="100" t="s">
        <v>214</v>
      </c>
      <c r="W76" s="100">
        <v>568</v>
      </c>
      <c r="X76" s="101" t="s">
        <v>47</v>
      </c>
      <c r="Y76" s="100" t="s">
        <v>219</v>
      </c>
      <c r="Z76" s="100" t="s">
        <v>115</v>
      </c>
      <c r="AA76" s="100" t="s">
        <v>348</v>
      </c>
      <c r="AB76" s="15" t="s">
        <v>221</v>
      </c>
      <c r="AC76" s="6" t="s">
        <v>32</v>
      </c>
      <c r="AD76" s="51"/>
      <c r="AE76">
        <v>642</v>
      </c>
      <c r="AF76">
        <v>0.875</v>
      </c>
      <c r="AG76">
        <v>0.92200000000000004</v>
      </c>
      <c r="AH76">
        <v>33471.4</v>
      </c>
      <c r="AI76" s="134">
        <f t="shared" ref="AI76:AI82" si="11">ROUND((AE76*1000*AF76/AH76),0)</f>
        <v>17</v>
      </c>
      <c r="AJ76" s="134">
        <f t="shared" ref="AJ76:AJ82" si="12">ROUND((AE76*1000*AG76/AH76),0)</f>
        <v>18</v>
      </c>
      <c r="AK76" s="134">
        <f t="shared" ref="AK76:AK82" si="13">ROUND(AE76*AF76,0)</f>
        <v>562</v>
      </c>
      <c r="AL76" s="134">
        <f t="shared" ref="AL76:AL82" si="14">ROUND(AE76*AG76,0)</f>
        <v>592</v>
      </c>
    </row>
    <row r="77" spans="1:38" ht="21">
      <c r="A77" s="2" t="s">
        <v>349</v>
      </c>
      <c r="B77" s="102" t="s">
        <v>9</v>
      </c>
      <c r="C77" s="102" t="s">
        <v>10</v>
      </c>
      <c r="D77" s="102" t="s">
        <v>11</v>
      </c>
      <c r="E77" s="100" t="s">
        <v>143</v>
      </c>
      <c r="F77" s="100" t="str">
        <f t="shared" si="10"/>
        <v>702 / 740</v>
      </c>
      <c r="G77" s="100">
        <v>5</v>
      </c>
      <c r="H77" s="100">
        <v>90</v>
      </c>
      <c r="I77" s="105" t="s">
        <v>48</v>
      </c>
      <c r="J77" s="135">
        <v>5.9</v>
      </c>
      <c r="K77" s="131">
        <v>80</v>
      </c>
      <c r="L77" s="100">
        <v>92</v>
      </c>
      <c r="M77" s="105" t="s">
        <v>48</v>
      </c>
      <c r="N77" s="105" t="s">
        <v>48</v>
      </c>
      <c r="O77" s="100" t="s">
        <v>197</v>
      </c>
      <c r="P77" s="100" t="s">
        <v>205</v>
      </c>
      <c r="Q77" s="100" t="s">
        <v>28</v>
      </c>
      <c r="R77" s="100">
        <v>802</v>
      </c>
      <c r="S77" s="106" t="s">
        <v>211</v>
      </c>
      <c r="T77" s="100" t="s">
        <v>16</v>
      </c>
      <c r="U77" s="100">
        <v>4.5</v>
      </c>
      <c r="V77" s="100" t="s">
        <v>214</v>
      </c>
      <c r="W77" s="100">
        <v>634</v>
      </c>
      <c r="X77" s="101" t="s">
        <v>47</v>
      </c>
      <c r="Y77" s="100" t="s">
        <v>219</v>
      </c>
      <c r="Z77" s="100" t="s">
        <v>115</v>
      </c>
      <c r="AA77" s="100" t="s">
        <v>349</v>
      </c>
      <c r="AB77" s="15" t="s">
        <v>222</v>
      </c>
      <c r="AC77" s="6" t="s">
        <v>32</v>
      </c>
      <c r="AD77" s="51"/>
      <c r="AE77">
        <v>802.5</v>
      </c>
      <c r="AF77">
        <v>0.875</v>
      </c>
      <c r="AG77">
        <v>0.92200000000000004</v>
      </c>
      <c r="AH77">
        <v>33471.4</v>
      </c>
      <c r="AI77" s="134">
        <f t="shared" si="11"/>
        <v>21</v>
      </c>
      <c r="AJ77" s="134">
        <f t="shared" si="12"/>
        <v>22</v>
      </c>
      <c r="AK77" s="134">
        <f t="shared" si="13"/>
        <v>702</v>
      </c>
      <c r="AL77" s="134">
        <f t="shared" si="14"/>
        <v>740</v>
      </c>
    </row>
    <row r="78" spans="1:38" ht="21">
      <c r="A78" s="3" t="s">
        <v>350</v>
      </c>
      <c r="B78" s="102" t="s">
        <v>9</v>
      </c>
      <c r="C78" s="102" t="s">
        <v>10</v>
      </c>
      <c r="D78" s="102" t="s">
        <v>11</v>
      </c>
      <c r="E78" s="100" t="s">
        <v>143</v>
      </c>
      <c r="F78" s="100" t="str">
        <f t="shared" si="10"/>
        <v>983 / 1036</v>
      </c>
      <c r="G78" s="100">
        <v>7</v>
      </c>
      <c r="H78" s="100">
        <v>90</v>
      </c>
      <c r="I78" s="105" t="s">
        <v>48</v>
      </c>
      <c r="J78" s="135">
        <v>8</v>
      </c>
      <c r="K78" s="131">
        <v>80</v>
      </c>
      <c r="L78" s="100">
        <v>92</v>
      </c>
      <c r="M78" s="105" t="s">
        <v>48</v>
      </c>
      <c r="N78" s="105" t="s">
        <v>48</v>
      </c>
      <c r="O78" s="100" t="s">
        <v>198</v>
      </c>
      <c r="P78" s="100" t="s">
        <v>206</v>
      </c>
      <c r="Q78" s="100" t="s">
        <v>28</v>
      </c>
      <c r="R78" s="100">
        <v>1124</v>
      </c>
      <c r="S78" s="106" t="s">
        <v>211</v>
      </c>
      <c r="T78" s="100" t="s">
        <v>16</v>
      </c>
      <c r="U78" s="100">
        <v>6.3</v>
      </c>
      <c r="V78" s="100" t="s">
        <v>215</v>
      </c>
      <c r="W78" s="100">
        <v>826</v>
      </c>
      <c r="X78" s="101" t="s">
        <v>47</v>
      </c>
      <c r="Y78" s="100" t="s">
        <v>219</v>
      </c>
      <c r="Z78" s="100" t="s">
        <v>115</v>
      </c>
      <c r="AA78" s="100" t="s">
        <v>350</v>
      </c>
      <c r="AB78" s="15" t="s">
        <v>223</v>
      </c>
      <c r="AC78" s="6" t="s">
        <v>32</v>
      </c>
      <c r="AD78" s="51"/>
      <c r="AE78">
        <v>1123.5</v>
      </c>
      <c r="AF78">
        <v>0.875</v>
      </c>
      <c r="AG78">
        <v>0.92200000000000004</v>
      </c>
      <c r="AH78">
        <v>33471.4</v>
      </c>
      <c r="AI78" s="134">
        <f t="shared" si="11"/>
        <v>29</v>
      </c>
      <c r="AJ78" s="134">
        <f t="shared" si="12"/>
        <v>31</v>
      </c>
      <c r="AK78" s="134">
        <f t="shared" si="13"/>
        <v>983</v>
      </c>
      <c r="AL78" s="134">
        <f t="shared" si="14"/>
        <v>1036</v>
      </c>
    </row>
    <row r="79" spans="1:38" ht="21">
      <c r="A79" s="2" t="s">
        <v>351</v>
      </c>
      <c r="B79" s="102" t="s">
        <v>9</v>
      </c>
      <c r="C79" s="102" t="s">
        <v>10</v>
      </c>
      <c r="D79" s="102" t="s">
        <v>11</v>
      </c>
      <c r="E79" s="100" t="s">
        <v>143</v>
      </c>
      <c r="F79" s="100" t="str">
        <f t="shared" si="10"/>
        <v>1343 / 1415</v>
      </c>
      <c r="G79" s="100">
        <v>4</v>
      </c>
      <c r="H79" s="100">
        <v>92</v>
      </c>
      <c r="I79" s="105" t="s">
        <v>48</v>
      </c>
      <c r="J79" s="135">
        <v>2.7</v>
      </c>
      <c r="K79" s="131">
        <v>80</v>
      </c>
      <c r="L79" s="100">
        <v>92</v>
      </c>
      <c r="M79" s="105" t="s">
        <v>48</v>
      </c>
      <c r="N79" s="105" t="s">
        <v>48</v>
      </c>
      <c r="O79" s="100" t="s">
        <v>199</v>
      </c>
      <c r="P79" s="100" t="s">
        <v>207</v>
      </c>
      <c r="Q79" s="100" t="s">
        <v>28</v>
      </c>
      <c r="R79" s="100">
        <v>1530</v>
      </c>
      <c r="S79" s="106" t="s">
        <v>212</v>
      </c>
      <c r="T79" s="100" t="s">
        <v>16</v>
      </c>
      <c r="U79" s="100">
        <v>10</v>
      </c>
      <c r="V79" s="100" t="s">
        <v>216</v>
      </c>
      <c r="W79" s="100">
        <v>1137</v>
      </c>
      <c r="X79" s="101" t="s">
        <v>47</v>
      </c>
      <c r="Y79" s="100" t="s">
        <v>219</v>
      </c>
      <c r="Z79" s="100" t="s">
        <v>115</v>
      </c>
      <c r="AA79" s="100" t="s">
        <v>351</v>
      </c>
      <c r="AB79" s="15" t="s">
        <v>224</v>
      </c>
      <c r="AC79" s="6" t="s">
        <v>32</v>
      </c>
      <c r="AD79" s="51"/>
      <c r="AE79">
        <v>1530</v>
      </c>
      <c r="AF79">
        <v>0.878</v>
      </c>
      <c r="AG79">
        <v>0.92500000000000004</v>
      </c>
      <c r="AH79">
        <v>33471.4</v>
      </c>
      <c r="AI79" s="134">
        <f t="shared" si="11"/>
        <v>40</v>
      </c>
      <c r="AJ79" s="134">
        <f t="shared" si="12"/>
        <v>42</v>
      </c>
      <c r="AK79" s="134">
        <f t="shared" si="13"/>
        <v>1343</v>
      </c>
      <c r="AL79" s="134">
        <f t="shared" si="14"/>
        <v>1415</v>
      </c>
    </row>
    <row r="80" spans="1:38" ht="21">
      <c r="A80" s="3" t="s">
        <v>352</v>
      </c>
      <c r="B80" s="102" t="s">
        <v>9</v>
      </c>
      <c r="C80" s="102" t="s">
        <v>10</v>
      </c>
      <c r="D80" s="102" t="s">
        <v>11</v>
      </c>
      <c r="E80" s="100" t="s">
        <v>143</v>
      </c>
      <c r="F80" s="100" t="str">
        <f t="shared" si="10"/>
        <v>2015 / 2123</v>
      </c>
      <c r="G80" s="100">
        <v>6</v>
      </c>
      <c r="H80" s="100">
        <v>92</v>
      </c>
      <c r="I80" s="105" t="s">
        <v>48</v>
      </c>
      <c r="J80" s="135">
        <v>4.8</v>
      </c>
      <c r="K80" s="131">
        <v>80</v>
      </c>
      <c r="L80" s="100">
        <v>92</v>
      </c>
      <c r="M80" s="105" t="s">
        <v>48</v>
      </c>
      <c r="N80" s="105" t="s">
        <v>48</v>
      </c>
      <c r="O80" s="100" t="s">
        <v>200</v>
      </c>
      <c r="P80" s="100" t="s">
        <v>208</v>
      </c>
      <c r="Q80" s="100" t="s">
        <v>28</v>
      </c>
      <c r="R80" s="100">
        <v>2295</v>
      </c>
      <c r="S80" s="106" t="s">
        <v>212</v>
      </c>
      <c r="T80" s="100" t="s">
        <v>16</v>
      </c>
      <c r="U80" s="100">
        <v>15</v>
      </c>
      <c r="V80" s="100" t="s">
        <v>217</v>
      </c>
      <c r="W80" s="100">
        <v>1384</v>
      </c>
      <c r="X80" s="101" t="s">
        <v>47</v>
      </c>
      <c r="Y80" s="100" t="s">
        <v>219</v>
      </c>
      <c r="Z80" s="100" t="s">
        <v>115</v>
      </c>
      <c r="AA80" s="100" t="s">
        <v>352</v>
      </c>
      <c r="AB80" s="15" t="s">
        <v>225</v>
      </c>
      <c r="AC80" s="6" t="s">
        <v>32</v>
      </c>
      <c r="AD80" s="51"/>
      <c r="AE80">
        <v>2295</v>
      </c>
      <c r="AF80">
        <v>0.878</v>
      </c>
      <c r="AG80">
        <v>0.92500000000000004</v>
      </c>
      <c r="AH80">
        <v>33471.4</v>
      </c>
      <c r="AI80" s="134">
        <f t="shared" si="11"/>
        <v>60</v>
      </c>
      <c r="AJ80" s="134">
        <f t="shared" si="12"/>
        <v>63</v>
      </c>
      <c r="AK80" s="134">
        <f t="shared" si="13"/>
        <v>2015</v>
      </c>
      <c r="AL80" s="134">
        <f t="shared" si="14"/>
        <v>2123</v>
      </c>
    </row>
    <row r="81" spans="1:38" ht="21">
      <c r="A81" s="2" t="s">
        <v>353</v>
      </c>
      <c r="B81" s="102" t="s">
        <v>9</v>
      </c>
      <c r="C81" s="102" t="s">
        <v>10</v>
      </c>
      <c r="D81" s="102" t="s">
        <v>11</v>
      </c>
      <c r="E81" s="100" t="s">
        <v>143</v>
      </c>
      <c r="F81" s="100" t="str">
        <f t="shared" si="10"/>
        <v>2350 / 2476</v>
      </c>
      <c r="G81" s="100">
        <v>7</v>
      </c>
      <c r="H81" s="100">
        <v>92</v>
      </c>
      <c r="I81" s="105" t="s">
        <v>48</v>
      </c>
      <c r="J81" s="135">
        <v>5.9</v>
      </c>
      <c r="K81" s="131">
        <v>80</v>
      </c>
      <c r="L81" s="100">
        <v>92</v>
      </c>
      <c r="M81" s="105" t="s">
        <v>48</v>
      </c>
      <c r="N81" s="105" t="s">
        <v>48</v>
      </c>
      <c r="O81" s="100" t="s">
        <v>201</v>
      </c>
      <c r="P81" s="100" t="s">
        <v>209</v>
      </c>
      <c r="Q81" s="100" t="s">
        <v>28</v>
      </c>
      <c r="R81" s="100">
        <v>2677</v>
      </c>
      <c r="S81" s="106" t="s">
        <v>212</v>
      </c>
      <c r="T81" s="100" t="s">
        <v>16</v>
      </c>
      <c r="U81" s="100">
        <v>17.5</v>
      </c>
      <c r="V81" s="100" t="s">
        <v>218</v>
      </c>
      <c r="W81" s="100">
        <v>1549</v>
      </c>
      <c r="X81" s="101" t="s">
        <v>47</v>
      </c>
      <c r="Y81" s="100" t="s">
        <v>219</v>
      </c>
      <c r="Z81" s="100" t="s">
        <v>115</v>
      </c>
      <c r="AA81" s="100" t="s">
        <v>353</v>
      </c>
      <c r="AB81" s="15" t="s">
        <v>226</v>
      </c>
      <c r="AC81" s="6" t="s">
        <v>32</v>
      </c>
      <c r="AD81" s="51"/>
      <c r="AE81">
        <v>2677</v>
      </c>
      <c r="AF81">
        <v>0.878</v>
      </c>
      <c r="AG81">
        <v>0.92500000000000004</v>
      </c>
      <c r="AH81">
        <v>33471.4</v>
      </c>
      <c r="AI81" s="134">
        <f t="shared" si="11"/>
        <v>70</v>
      </c>
      <c r="AJ81" s="134">
        <f t="shared" si="12"/>
        <v>74</v>
      </c>
      <c r="AK81" s="134">
        <f t="shared" si="13"/>
        <v>2350</v>
      </c>
      <c r="AL81" s="134">
        <f t="shared" si="14"/>
        <v>2476</v>
      </c>
    </row>
    <row r="82" spans="1:38" ht="21">
      <c r="A82" s="3" t="s">
        <v>354</v>
      </c>
      <c r="B82" s="102" t="s">
        <v>9</v>
      </c>
      <c r="C82" s="102" t="s">
        <v>10</v>
      </c>
      <c r="D82" s="102" t="s">
        <v>11</v>
      </c>
      <c r="E82" s="100" t="s">
        <v>143</v>
      </c>
      <c r="F82" s="100" t="str">
        <f t="shared" si="10"/>
        <v>2687 / 2831</v>
      </c>
      <c r="G82" s="100">
        <v>8</v>
      </c>
      <c r="H82" s="100">
        <v>92</v>
      </c>
      <c r="I82" s="105" t="s">
        <v>48</v>
      </c>
      <c r="J82" s="135">
        <v>7</v>
      </c>
      <c r="K82" s="131">
        <v>80</v>
      </c>
      <c r="L82" s="100">
        <v>92</v>
      </c>
      <c r="M82" s="105" t="s">
        <v>48</v>
      </c>
      <c r="N82" s="105" t="s">
        <v>48</v>
      </c>
      <c r="O82" s="100" t="s">
        <v>202</v>
      </c>
      <c r="P82" s="100" t="s">
        <v>210</v>
      </c>
      <c r="Q82" s="100" t="s">
        <v>28</v>
      </c>
      <c r="R82" s="100">
        <v>3060</v>
      </c>
      <c r="S82" s="106" t="s">
        <v>212</v>
      </c>
      <c r="T82" s="100" t="s">
        <v>16</v>
      </c>
      <c r="U82" s="100">
        <v>20</v>
      </c>
      <c r="V82" s="100" t="s">
        <v>218</v>
      </c>
      <c r="W82" s="100">
        <v>1664</v>
      </c>
      <c r="X82" s="101" t="s">
        <v>47</v>
      </c>
      <c r="Y82" s="100" t="s">
        <v>219</v>
      </c>
      <c r="Z82" s="100" t="s">
        <v>115</v>
      </c>
      <c r="AA82" s="100" t="s">
        <v>354</v>
      </c>
      <c r="AB82" s="15" t="s">
        <v>227</v>
      </c>
      <c r="AC82" s="6" t="s">
        <v>32</v>
      </c>
      <c r="AD82" s="51"/>
      <c r="AE82">
        <v>3060</v>
      </c>
      <c r="AF82">
        <v>0.878</v>
      </c>
      <c r="AG82">
        <v>0.92500000000000004</v>
      </c>
      <c r="AH82">
        <v>33471.4</v>
      </c>
      <c r="AI82" s="134">
        <f t="shared" si="11"/>
        <v>80</v>
      </c>
      <c r="AJ82" s="134">
        <f t="shared" si="12"/>
        <v>85</v>
      </c>
      <c r="AK82" s="134">
        <f t="shared" si="13"/>
        <v>2687</v>
      </c>
      <c r="AL82" s="134">
        <f t="shared" si="14"/>
        <v>2831</v>
      </c>
    </row>
    <row r="83" spans="1:38" s="179" customFormat="1"/>
    <row r="84" spans="1:38" s="179" customFormat="1"/>
    <row r="85" spans="1:38" s="179" customFormat="1"/>
    <row r="86" spans="1:38" s="179" customFormat="1"/>
    <row r="87" spans="1:38" s="179" customFormat="1"/>
    <row r="88" spans="1:38" s="179" customFormat="1"/>
    <row r="89" spans="1:38" s="179" customFormat="1"/>
    <row r="90" spans="1:38" s="179" customFormat="1"/>
    <row r="91" spans="1:38" s="179" customFormat="1"/>
    <row r="92" spans="1:38" s="179" customFormat="1"/>
    <row r="93" spans="1:38" s="179" customFormat="1"/>
    <row r="94" spans="1:38" s="179" customFormat="1"/>
    <row r="95" spans="1:38" s="179" customFormat="1"/>
    <row r="96" spans="1:38" s="179" customFormat="1"/>
    <row r="97" s="179" customFormat="1"/>
    <row r="98" s="179" customFormat="1"/>
    <row r="99" s="179" customFormat="1"/>
    <row r="100" s="179" customFormat="1"/>
    <row r="101" s="179" customFormat="1"/>
    <row r="102" s="179" customFormat="1"/>
    <row r="103" s="179" customFormat="1"/>
    <row r="104" s="179" customFormat="1"/>
    <row r="105" s="179" customFormat="1"/>
    <row r="106" s="179" customFormat="1"/>
  </sheetData>
  <sheetProtection algorithmName="SHA-512" hashValue="4tlF/M7B4GlwEOYu41Fr1eK+hl5FcVkzLfMzY3+crTj4RCrImRirGdT/N5rLu/Qn8OmOr7/XvBM+DkXDYY4B9A==" saltValue="GbIqpU8MYUrBQsZTEuDTpw==" spinCount="100000" sheet="1" selectLockedCells="1" selectUnlockedCells="1"/>
  <mergeCells count="24">
    <mergeCell ref="H18:O18"/>
    <mergeCell ref="P18:R18"/>
    <mergeCell ref="S18:U18"/>
    <mergeCell ref="B1:AA1"/>
    <mergeCell ref="P2:R2"/>
    <mergeCell ref="H2:O2"/>
    <mergeCell ref="S2:U2"/>
    <mergeCell ref="B17:AA17"/>
    <mergeCell ref="B32:Z32"/>
    <mergeCell ref="I33:P33"/>
    <mergeCell ref="Q33:S33"/>
    <mergeCell ref="T33:U33"/>
    <mergeCell ref="B44:AA44"/>
    <mergeCell ref="B71:AA71"/>
    <mergeCell ref="H72:P72"/>
    <mergeCell ref="Q72:S72"/>
    <mergeCell ref="T72:U72"/>
    <mergeCell ref="H45:O45"/>
    <mergeCell ref="P45:R45"/>
    <mergeCell ref="S45:U45"/>
    <mergeCell ref="B58:AA58"/>
    <mergeCell ref="H59:O59"/>
    <mergeCell ref="P59:R59"/>
    <mergeCell ref="S59:U59"/>
  </mergeCells>
  <conditionalFormatting sqref="X5:X10 X13:X14">
    <cfRule type="containsText" dxfId="10" priority="11" operator="containsText" text="3">
      <formula>NOT(ISERROR(SEARCH("3",X5)))</formula>
    </cfRule>
  </conditionalFormatting>
  <conditionalFormatting sqref="X21:X26 X29:X30">
    <cfRule type="containsText" dxfId="9" priority="10" operator="containsText" text="3">
      <formula>NOT(ISERROR(SEARCH("3",X21)))</formula>
    </cfRule>
  </conditionalFormatting>
  <conditionalFormatting sqref="X35:X39">
    <cfRule type="containsText" dxfId="8" priority="9" operator="containsText" text="3">
      <formula>NOT(ISERROR(SEARCH("3",X35)))</formula>
    </cfRule>
  </conditionalFormatting>
  <conditionalFormatting sqref="X62:X65">
    <cfRule type="containsText" dxfId="7" priority="8" operator="containsText" text="3">
      <formula>NOT(ISERROR(SEARCH("3",X62)))</formula>
    </cfRule>
  </conditionalFormatting>
  <conditionalFormatting sqref="X75:X82">
    <cfRule type="containsText" dxfId="6" priority="6" operator="containsText" text="3">
      <formula>NOT(ISERROR(SEARCH("3",X75)))</formula>
    </cfRule>
  </conditionalFormatting>
  <conditionalFormatting sqref="X74">
    <cfRule type="containsText" dxfId="5" priority="5" operator="containsText" text="3">
      <formula>NOT(ISERROR(SEARCH("3",X74)))</formula>
    </cfRule>
  </conditionalFormatting>
  <conditionalFormatting sqref="X47:X53">
    <cfRule type="containsText" dxfId="4" priority="7" operator="containsText" text="3">
      <formula>NOT(ISERROR(SEARCH("3",X47)))</formula>
    </cfRule>
  </conditionalFormatting>
  <conditionalFormatting sqref="X12">
    <cfRule type="containsText" dxfId="3" priority="4" operator="containsText" text="3">
      <formula>NOT(ISERROR(SEARCH("3",X12)))</formula>
    </cfRule>
  </conditionalFormatting>
  <conditionalFormatting sqref="X11">
    <cfRule type="containsText" dxfId="2" priority="3" operator="containsText" text="3">
      <formula>NOT(ISERROR(SEARCH("3",X11)))</formula>
    </cfRule>
  </conditionalFormatting>
  <conditionalFormatting sqref="X28">
    <cfRule type="containsText" dxfId="1" priority="2" operator="containsText" text="3">
      <formula>NOT(ISERROR(SEARCH("3",X28)))</formula>
    </cfRule>
  </conditionalFormatting>
  <conditionalFormatting sqref="X27">
    <cfRule type="containsText" dxfId="0" priority="1" operator="containsText" text="3">
      <formula>NOT(ISERROR(SEARCH("3",X27)))</formula>
    </cfRule>
  </conditionalFormatting>
  <pageMargins left="0.7" right="0.7" top="0.75" bottom="0.75" header="0.3" footer="0.3"/>
  <pageSetup paperSize="5" scale="34"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dimension ref="A1:G9"/>
  <sheetViews>
    <sheetView workbookViewId="0">
      <selection activeCell="E4" sqref="E4:E9"/>
    </sheetView>
  </sheetViews>
  <sheetFormatPr defaultRowHeight="15.5"/>
  <cols>
    <col min="1" max="1" width="15.08203125" customWidth="1"/>
    <col min="3" max="3" width="11.83203125" customWidth="1"/>
    <col min="4" max="7" width="7.75" customWidth="1"/>
  </cols>
  <sheetData>
    <row r="1" spans="1:7">
      <c r="B1" t="s">
        <v>268</v>
      </c>
    </row>
    <row r="2" spans="1:7">
      <c r="A2" t="s">
        <v>261</v>
      </c>
      <c r="B2" s="172">
        <v>0.2</v>
      </c>
    </row>
    <row r="3" spans="1:7" s="159" customFormat="1" ht="46.5">
      <c r="A3" s="159" t="s">
        <v>262</v>
      </c>
      <c r="B3" s="159" t="s">
        <v>260</v>
      </c>
      <c r="C3" s="159" t="s">
        <v>259</v>
      </c>
      <c r="D3" s="159" t="s">
        <v>273</v>
      </c>
      <c r="E3" s="159" t="s">
        <v>274</v>
      </c>
      <c r="F3" s="159" t="s">
        <v>275</v>
      </c>
      <c r="G3" s="159" t="s">
        <v>263</v>
      </c>
    </row>
    <row r="4" spans="1:7">
      <c r="A4" s="171">
        <v>0</v>
      </c>
      <c r="B4">
        <f>ROUND(C4*(1-$B$2),0)</f>
        <v>24</v>
      </c>
      <c r="C4">
        <v>30</v>
      </c>
      <c r="D4" t="str">
        <f>IF(AND('BENCHMARK PLATINUM w EDGEii_OLD'!$S$28&gt;=$A4,'BENCHMARK PLATINUM w EDGEii_OLD'!$S$28&lt;=$B4),1,"")</f>
        <v/>
      </c>
      <c r="E4" t="e">
        <f>IF(AND(#REF!&gt;=$A4,#REF!&lt;=$B4),1,"")</f>
        <v>#REF!</v>
      </c>
      <c r="F4" t="str">
        <f>IF(AND('BENCHMARK STANDARD w EDGEi'!$S$26&gt;=$A4,'BENCHMARK STANDARD w EDGEi'!$S$26&lt;=$B4),1,"")</f>
        <v/>
      </c>
      <c r="G4" t="str">
        <f>IF(AND('MFC SERIES'!$S$26&gt;=$A4,'MFC SERIES'!$S$26&lt;=$B4),1,"")</f>
        <v/>
      </c>
    </row>
    <row r="5" spans="1:7">
      <c r="A5">
        <f>+B4+1</f>
        <v>25</v>
      </c>
      <c r="B5">
        <f t="shared" ref="B5:B8" si="0">ROUND(C5*(1-$B$2),0)</f>
        <v>40</v>
      </c>
      <c r="C5">
        <v>50</v>
      </c>
      <c r="D5">
        <f>IF(AND('BENCHMARK PLATINUM w EDGEii_OLD'!$S$28&gt;=$A5,'BENCHMARK PLATINUM w EDGEii_OLD'!$S$28&lt;=$B5),1,"")</f>
        <v>1</v>
      </c>
      <c r="E5" t="e">
        <f>IF(AND(#REF!&gt;=$A5,#REF!&lt;=$B5),1,"")</f>
        <v>#REF!</v>
      </c>
      <c r="F5">
        <f>IF(AND('BENCHMARK STANDARD w EDGEi'!$S$26&gt;=$A5,'BENCHMARK STANDARD w EDGEi'!$S$26&lt;=$B5),1,"")</f>
        <v>1</v>
      </c>
      <c r="G5">
        <f>IF(AND('MFC SERIES'!$S$26&gt;=$A5,'MFC SERIES'!$S$26&lt;=$B5),1,"")</f>
        <v>1</v>
      </c>
    </row>
    <row r="6" spans="1:7">
      <c r="A6">
        <f t="shared" ref="A6:A9" si="1">+B5+1</f>
        <v>41</v>
      </c>
      <c r="B6">
        <f t="shared" si="0"/>
        <v>60</v>
      </c>
      <c r="C6">
        <v>75</v>
      </c>
      <c r="D6" t="str">
        <f>IF(AND('BENCHMARK PLATINUM w EDGEii_OLD'!$S$28&gt;=$A6,'BENCHMARK PLATINUM w EDGEii_OLD'!$S$28&lt;=$B6),1,"")</f>
        <v/>
      </c>
      <c r="E6" t="e">
        <f>IF(AND(#REF!&gt;=$A6,#REF!&lt;=$B6),1,"")</f>
        <v>#REF!</v>
      </c>
      <c r="F6" t="str">
        <f>IF(AND('BENCHMARK STANDARD w EDGEi'!$S$26&gt;=$A6,'BENCHMARK STANDARD w EDGEi'!$S$26&lt;=$B6),1,"")</f>
        <v/>
      </c>
      <c r="G6" t="str">
        <f>IF(AND('MFC SERIES'!$S$26&gt;=$A6,'MFC SERIES'!$S$26&lt;=$B6),1,"")</f>
        <v/>
      </c>
    </row>
    <row r="7" spans="1:7">
      <c r="A7">
        <f t="shared" si="1"/>
        <v>61</v>
      </c>
      <c r="B7">
        <f t="shared" si="0"/>
        <v>80</v>
      </c>
      <c r="C7">
        <v>100</v>
      </c>
      <c r="D7" t="str">
        <f>IF(AND('BENCHMARK PLATINUM w EDGEii_OLD'!$S$28&gt;=$A7,'BENCHMARK PLATINUM w EDGEii_OLD'!$S$28&lt;=$B7),1,"")</f>
        <v/>
      </c>
      <c r="E7" t="e">
        <f>IF(AND(#REF!&gt;=$A7,#REF!&lt;=$B7),1,"")</f>
        <v>#REF!</v>
      </c>
      <c r="F7" t="str">
        <f>IF(AND('BENCHMARK STANDARD w EDGEi'!$S$26&gt;=$A7,'BENCHMARK STANDARD w EDGEi'!$S$26&lt;=$B7),1,"")</f>
        <v/>
      </c>
      <c r="G7" t="str">
        <f>IF(AND('MFC SERIES'!$S$26&gt;=$A7,'MFC SERIES'!$S$26&lt;=$B7),1,"")</f>
        <v/>
      </c>
    </row>
    <row r="8" spans="1:7">
      <c r="A8">
        <f t="shared" si="1"/>
        <v>81</v>
      </c>
      <c r="B8">
        <f t="shared" si="0"/>
        <v>120</v>
      </c>
      <c r="C8">
        <v>150</v>
      </c>
      <c r="D8" t="str">
        <f>IF(AND('BENCHMARK PLATINUM w EDGEii_OLD'!$S$28&gt;=$A8,'BENCHMARK PLATINUM w EDGEii_OLD'!$S$28&lt;=$B8),1,"")</f>
        <v/>
      </c>
      <c r="E8" t="e">
        <f>IF(AND(#REF!&gt;=$A8,#REF!&lt;=$B8),1,"")</f>
        <v>#REF!</v>
      </c>
      <c r="F8" t="str">
        <f>IF(AND('BENCHMARK STANDARD w EDGEi'!$S$26&gt;=$A8,'BENCHMARK STANDARD w EDGEi'!$S$26&lt;=$B8),1,"")</f>
        <v/>
      </c>
      <c r="G8" t="str">
        <f>IF(AND('MFC SERIES'!$S$26&gt;=$A8,'MFC SERIES'!$S$26&lt;=$B8),1,"")</f>
        <v/>
      </c>
    </row>
    <row r="9" spans="1:7">
      <c r="A9">
        <f t="shared" si="1"/>
        <v>121</v>
      </c>
      <c r="B9" s="171">
        <v>150</v>
      </c>
      <c r="C9" t="s">
        <v>265</v>
      </c>
      <c r="D9" t="str">
        <f>IF(AND('BENCHMARK PLATINUM w EDGEii_OLD'!$S$28&gt;=$A9,'BENCHMARK PLATINUM w EDGEii_OLD'!$S$28&lt;=$B9),1,"")</f>
        <v/>
      </c>
      <c r="E9" t="e">
        <f>IF(AND(#REF!&gt;=$A9,#REF!&lt;=$B9),1,"")</f>
        <v>#REF!</v>
      </c>
      <c r="F9" t="str">
        <f>IF(AND('BENCHMARK STANDARD w EDGEi'!$S$26&gt;=$A9,'BENCHMARK STANDARD w EDGEi'!$S$26&lt;=$B9),1,"")</f>
        <v/>
      </c>
      <c r="G9" t="str">
        <f>IF(AND('MFC SERIES'!$S$26&gt;=$A9,'MFC SERIES'!$S$26&lt;=$B9),1,"")</f>
        <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19</vt:i4>
      </vt:variant>
    </vt:vector>
  </HeadingPairs>
  <TitlesOfParts>
    <vt:vector size="24" baseType="lpstr">
      <vt:lpstr>BENCHMARK PLATINUM w EDGEii</vt:lpstr>
      <vt:lpstr>BENCHMARK STANDARD w EDGEi</vt:lpstr>
      <vt:lpstr>MFC SERIES</vt:lpstr>
      <vt:lpstr>AM SERIES</vt:lpstr>
      <vt:lpstr>MLX EXT</vt:lpstr>
      <vt:lpstr>AM</vt:lpstr>
      <vt:lpstr>AMboiler</vt:lpstr>
      <vt:lpstr>BMKEdgei</vt:lpstr>
      <vt:lpstr>BMKPlatEdgeii</vt:lpstr>
      <vt:lpstr>BMKPlatwCMORE</vt:lpstr>
      <vt:lpstr>BMKPlatwEDGE</vt:lpstr>
      <vt:lpstr>BMKSTDwEdge</vt:lpstr>
      <vt:lpstr>INN</vt:lpstr>
      <vt:lpstr>MaxPressure</vt:lpstr>
      <vt:lpstr>MFC</vt:lpstr>
      <vt:lpstr>MFCBoiler</vt:lpstr>
      <vt:lpstr>MinPressure</vt:lpstr>
      <vt:lpstr>MLX</vt:lpstr>
      <vt:lpstr>MLXBoiler</vt:lpstr>
      <vt:lpstr>RV_BMKCMORE</vt:lpstr>
      <vt:lpstr>RV_BMKPCMORE</vt:lpstr>
      <vt:lpstr>RV_BMKPEDGE</vt:lpstr>
      <vt:lpstr>RV_MFC</vt:lpstr>
      <vt:lpstr>RVpressure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Zapata, Christian</cp:lastModifiedBy>
  <dcterms:created xsi:type="dcterms:W3CDTF">2016-05-26T01:28:51Z</dcterms:created>
  <dcterms:modified xsi:type="dcterms:W3CDTF">2021-10-08T21:33:18Z</dcterms:modified>
</cp:coreProperties>
</file>